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41" activeTab="45"/>
  </bookViews>
  <sheets>
    <sheet name="Лист59" sheetId="1" r:id="rId1"/>
    <sheet name="Тяговое Двоеборье люб" sheetId="2" r:id="rId2"/>
    <sheet name="Народная тяга" sheetId="3" r:id="rId3"/>
    <sheet name="РТ любители 100 кг." sheetId="4" r:id="rId4"/>
    <sheet name="РЖ любители 100 кг." sheetId="5" r:id="rId5"/>
    <sheet name="РЖ любители 75 кг." sheetId="6" r:id="rId6"/>
    <sheet name="РЖ любители 55 кг." sheetId="7" r:id="rId7"/>
    <sheet name="РЖ любители 35 кг." sheetId="8" r:id="rId8"/>
    <sheet name="РЖ Проф 150 кг." sheetId="9" r:id="rId9"/>
    <sheet name="РЖ Проф 125 кг." sheetId="10" r:id="rId10"/>
    <sheet name="РЖ Проф 100 кг." sheetId="11" r:id="rId11"/>
    <sheet name="РЖ Проф 75 кг." sheetId="12" r:id="rId12"/>
    <sheet name="20-57-02РЖ Проф 55 кг." sheetId="13" r:id="rId13"/>
    <sheet name="РЖ Проф 55 кг." sheetId="14" r:id="rId14"/>
    <sheet name="Пауэрспорт Профессионалы" sheetId="15" r:id="rId15"/>
    <sheet name="Пауэрспорт Любители" sheetId="16" r:id="rId16"/>
    <sheet name="Бицепс Профессионалы" sheetId="17" r:id="rId17"/>
    <sheet name="Бицепс Любители" sheetId="18" r:id="rId18"/>
    <sheet name="Жим стоя Профессионалы" sheetId="19" r:id="rId19"/>
    <sheet name="Жим стоя Любители" sheetId="20" r:id="rId20"/>
    <sheet name="Проф. народный жим 1_2 вес" sheetId="21" r:id="rId21"/>
    <sheet name="Проф. народный жим 1 вес" sheetId="22" r:id="rId22"/>
    <sheet name="Люб. народный жим 1_2 вес" sheetId="23" r:id="rId23"/>
    <sheet name="Люб. народный жим 1 вес" sheetId="24" r:id="rId24"/>
    <sheet name="Двоеборье проф." sheetId="25" r:id="rId25"/>
    <sheet name="ПРО присед софт экип." sheetId="26" r:id="rId26"/>
    <sheet name="Люб. присед софт экип." sheetId="27" r:id="rId27"/>
    <sheet name="ПРО присед б.э." sheetId="28" r:id="rId28"/>
    <sheet name="Люб. присед б.э." sheetId="29" r:id="rId29"/>
    <sheet name="ПРО присед 1.слой" sheetId="30" r:id="rId30"/>
    <sheet name="Люб. присед 1.слой" sheetId="31" r:id="rId31"/>
    <sheet name="ПРО присед мн.слой" sheetId="32" r:id="rId32"/>
    <sheet name="Люб. присед мн.слой" sheetId="33" r:id="rId33"/>
    <sheet name="ПРО тяга софт экип." sheetId="34" r:id="rId34"/>
    <sheet name="Люб. тяга софт экип." sheetId="35" r:id="rId35"/>
    <sheet name="ПРО тяга б.э." sheetId="36" r:id="rId36"/>
    <sheet name="Люб. тяга б.э." sheetId="37" r:id="rId37"/>
    <sheet name="ПРО тяга 1.слой" sheetId="38" r:id="rId38"/>
    <sheet name="Люб. тяга 1.слой" sheetId="39" r:id="rId39"/>
    <sheet name="ПРО тяга мн.слой" sheetId="40" r:id="rId40"/>
    <sheet name="Люб. тяга мн.слой" sheetId="41" r:id="rId41"/>
    <sheet name="ПРО жим софт экип. 3сл." sheetId="42" r:id="rId42"/>
    <sheet name="ПРО жим софт экип." sheetId="43" r:id="rId43"/>
    <sheet name="Люб. жим софт экип." sheetId="44" r:id="rId44"/>
    <sheet name="ПРО жим б.э." sheetId="45" r:id="rId45"/>
    <sheet name="Люб. жим б.э." sheetId="46" r:id="rId46"/>
    <sheet name="ПРО жим 1.слой" sheetId="47" r:id="rId47"/>
    <sheet name="Люб. жим 1.слой" sheetId="48" r:id="rId48"/>
    <sheet name="ПРО жим мн.слой" sheetId="49" r:id="rId49"/>
    <sheet name="Люб. жим мн.слой" sheetId="50" r:id="rId50"/>
    <sheet name="ПРО Военный жим" sheetId="51" r:id="rId51"/>
    <sheet name="Люб. Военный жим" sheetId="52" r:id="rId52"/>
    <sheet name="ПРО ПЛ. софт экип." sheetId="53" r:id="rId53"/>
    <sheet name="Люб. ПЛ. софт экип." sheetId="54" r:id="rId54"/>
    <sheet name="ПРО ПЛ. б.э." sheetId="55" r:id="rId55"/>
    <sheet name="Люб. ПЛ. б.э." sheetId="56" r:id="rId56"/>
    <sheet name="ПРО ПЛ. 1.слой" sheetId="57" r:id="rId57"/>
    <sheet name="Люб. ПЛ. 1.слой" sheetId="58" r:id="rId58"/>
    <sheet name="ПРО ПЛ. мн.слой" sheetId="59" r:id="rId59"/>
    <sheet name="Люб. ПЛ. мн.слой" sheetId="60" r:id="rId60"/>
  </sheets>
  <definedNames/>
  <calcPr fullCalcOnLoad="1"/>
</workbook>
</file>

<file path=xl/sharedStrings.xml><?xml version="1.0" encoding="utf-8"?>
<sst xmlns="http://schemas.openxmlformats.org/spreadsheetml/2006/main" count="2889" uniqueCount="736">
  <si>
    <t>ФИО</t>
  </si>
  <si>
    <t>Возрастная группа
Дата рождения/Возраст</t>
  </si>
  <si>
    <t>Собственный 
Вес</t>
  </si>
  <si>
    <t>Коэф</t>
  </si>
  <si>
    <t>Команда</t>
  </si>
  <si>
    <t>Город/Область</t>
  </si>
  <si>
    <t>Присед</t>
  </si>
  <si>
    <t>Жим</t>
  </si>
  <si>
    <t>Тяга</t>
  </si>
  <si>
    <t>Сумма</t>
  </si>
  <si>
    <t>Очки</t>
  </si>
  <si>
    <t>Тренер</t>
  </si>
  <si>
    <t>Рек</t>
  </si>
  <si>
    <t>Кубок Евразии по пауэрлифтингу и силовым видам спорта 2019 6 июля
Тяговое двоеборье любители
Краснодар/Краснодарский край 5 - 7 июля 2019 г.</t>
  </si>
  <si>
    <t xml:space="preserve">классика </t>
  </si>
  <si>
    <t>сумо</t>
  </si>
  <si>
    <t>1. Невзоров Алексей</t>
  </si>
  <si>
    <t>Юноши 18 - 19 (10.11.2000)/18</t>
  </si>
  <si>
    <t>81,90</t>
  </si>
  <si>
    <t xml:space="preserve">Лично </t>
  </si>
  <si>
    <t xml:space="preserve">Усть-Лабинск/Краснодарский край </t>
  </si>
  <si>
    <t>190</t>
  </si>
  <si>
    <t>202,5</t>
  </si>
  <si>
    <t>200,0</t>
  </si>
  <si>
    <t>210,0</t>
  </si>
  <si>
    <t>217,5</t>
  </si>
  <si>
    <t>412,5</t>
  </si>
  <si>
    <t>1. Новосельцев Олег</t>
  </si>
  <si>
    <t>Открытая (10.05.1985)/34</t>
  </si>
  <si>
    <t>124,70</t>
  </si>
  <si>
    <t>275,0</t>
  </si>
  <si>
    <t>285,0</t>
  </si>
  <si>
    <t>295,0</t>
  </si>
  <si>
    <t>240</t>
  </si>
  <si>
    <t>260</t>
  </si>
  <si>
    <t>270</t>
  </si>
  <si>
    <t>545</t>
  </si>
  <si>
    <t xml:space="preserve">Абсолютный зачёт </t>
  </si>
  <si>
    <t>Кубок Евразии по Народной становой тяге
Краснодар/Краснодарский край 5 - 7 июля 2019 г.</t>
  </si>
  <si>
    <t>Жим мн. повт.</t>
  </si>
  <si>
    <t>Тоннаж</t>
  </si>
  <si>
    <t>Вес</t>
  </si>
  <si>
    <t>Повторы</t>
  </si>
  <si>
    <t>Бакаева Вероника</t>
  </si>
  <si>
    <t>Открытая 24.12.1988\30</t>
  </si>
  <si>
    <t>52</t>
  </si>
  <si>
    <t xml:space="preserve">Краснодар/Краснодарский край </t>
  </si>
  <si>
    <t>65</t>
  </si>
  <si>
    <t>1430</t>
  </si>
  <si>
    <t>Кубок Евразии по РТ
Русская тяга любители 100 кг.
Краснодар/Краснодарский край 5 - 7 июля 2019 г.</t>
  </si>
  <si>
    <t>тяга мн. повт.</t>
  </si>
  <si>
    <t>Место</t>
  </si>
  <si>
    <t>Карданов Астемир</t>
  </si>
  <si>
    <t>Юноши 18-19 12.6.2000\19</t>
  </si>
  <si>
    <t>81.2</t>
  </si>
  <si>
    <t>Легион</t>
  </si>
  <si>
    <t>Нльчик\КБР</t>
  </si>
  <si>
    <t>100</t>
  </si>
  <si>
    <t>3400</t>
  </si>
  <si>
    <t>1</t>
  </si>
  <si>
    <t>Губжев</t>
  </si>
  <si>
    <t>Пеков Мухамед</t>
  </si>
  <si>
    <t>Юноши 18-19 26.12.2000\18</t>
  </si>
  <si>
    <t>74.8</t>
  </si>
  <si>
    <t>2600</t>
  </si>
  <si>
    <t>2</t>
  </si>
  <si>
    <t>Шиловской Антон</t>
  </si>
  <si>
    <t>Открытая 17.04.1980\38</t>
  </si>
  <si>
    <t>89.7</t>
  </si>
  <si>
    <t>Ставрополь</t>
  </si>
  <si>
    <t>10100</t>
  </si>
  <si>
    <t>Карцаев Альберт</t>
  </si>
  <si>
    <t>Открытая 30.06.1985\34</t>
  </si>
  <si>
    <t>90</t>
  </si>
  <si>
    <t>3500</t>
  </si>
  <si>
    <t>Кубок Евразии по РЖ
Русский жим любители 100 кг.
Краснодар/Краснодарский край 5 - 7 июля 2019 г.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</si>
  <si>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</si>
  <si>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</si>
  <si>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</si>
  <si>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</si>
  <si>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</si>
  <si>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>Кубок Евразии по РЖ
Русский жим любители 75 кг.
Краснодар/Краснодарский край 5 - 7 июля 2019 г.</t>
  </si>
  <si>
    <t>Кубок Евразии по РЖ
Русский жим любители 55 кг.
Краснодар/Краснодарский край 5 - 7 июля 2019 г.</t>
  </si>
  <si>
    <t>Атлетизм</t>
  </si>
  <si>
    <t>ВЕСОВАЯ КАТЕГОРИЯ   All</t>
  </si>
  <si>
    <t>1. Гончаров Эдуард</t>
  </si>
  <si>
    <t>Открытая (27.11.1991)/27</t>
  </si>
  <si>
    <t>87,70</t>
  </si>
  <si>
    <t>55,0</t>
  </si>
  <si>
    <t>38,0</t>
  </si>
  <si>
    <t xml:space="preserve"> </t>
  </si>
  <si>
    <t>1. Заплатин Андрей</t>
  </si>
  <si>
    <t>Мастера 50 - 54 (01.12.1965)/53</t>
  </si>
  <si>
    <t>73,00</t>
  </si>
  <si>
    <t xml:space="preserve">Красноярск/Красноярский край </t>
  </si>
  <si>
    <t xml:space="preserve">55,0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</si>
  <si>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</si>
  <si>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</si>
  <si>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</si>
  <si>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</si>
  <si>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</si>
  <si>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</si>
  <si>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Атлетизм </t>
  </si>
  <si>
    <t>Гончаров Эдуард</t>
  </si>
  <si>
    <t>All</t>
  </si>
  <si>
    <t>2090,0</t>
  </si>
  <si>
    <t>23,8312</t>
  </si>
  <si>
    <t xml:space="preserve">Мастера </t>
  </si>
  <si>
    <t>Заплатин Андрей</t>
  </si>
  <si>
    <t xml:space="preserve">Мастера 50 - 54 </t>
  </si>
  <si>
    <t>4180,0</t>
  </si>
  <si>
    <t>57,2602</t>
  </si>
  <si>
    <t>Кубок Евразии по РЖ
Русский жим любители 35 кг.
Краснодар/Краснодарский край 5 - 7 июля 2019 г.</t>
  </si>
  <si>
    <t>Кубок Евразии по РЖ
Русский жим профессионалы 150 кг.
Краснодар/Краснодарский край 5 - 7 июля 2019 г.</t>
  </si>
  <si>
    <t>Кубок Евразии по РЖ
Русский жим профессионалы 125 кг.
Краснодар/Краснодарский край 5 - 7 июля 2019 г.</t>
  </si>
  <si>
    <t>Кубок Евразии по РЖ
Русский жим профессионалы 100 кг.
Краснодар/Краснодарский край 5 - 7 июля 2019 г.</t>
  </si>
  <si>
    <t>1. Разуваев Михаил</t>
  </si>
  <si>
    <t>Открытая (25.10.1982)/36</t>
  </si>
  <si>
    <t>104,20</t>
  </si>
  <si>
    <t xml:space="preserve">Челябинск/Челябинская область </t>
  </si>
  <si>
    <t xml:space="preserve">100,0 </t>
  </si>
  <si>
    <t>28,0</t>
  </si>
  <si>
    <t>1. Захаров Владимир</t>
  </si>
  <si>
    <t>Мастера 60 - 64 (07.07.1955)/63</t>
  </si>
  <si>
    <t>98,70</t>
  </si>
  <si>
    <t xml:space="preserve">Новороссийск/Краснодарский край </t>
  </si>
  <si>
    <t>30,0</t>
  </si>
  <si>
    <t>Разуваев Михаил</t>
  </si>
  <si>
    <t>2800,0</t>
  </si>
  <si>
    <t>26,8714</t>
  </si>
  <si>
    <t>Захаров Владимир</t>
  </si>
  <si>
    <t xml:space="preserve">Мастера 60 - 64 </t>
  </si>
  <si>
    <t>3000,0</t>
  </si>
  <si>
    <t>30,3951</t>
  </si>
  <si>
    <t>Кубок Евразии по РЖ
Русский жим профессионалы 75 кг.
Краснодар/Краснодарский край 5 - 7 июля 2019 г.</t>
  </si>
  <si>
    <t>Кубок Евразии по РЖ
Русский жим профессионалы 55 кг.
Краснодар/Краснодарский край 5 - 7 июля 2019 г.</t>
  </si>
  <si>
    <t>1. Никандров Роман</t>
  </si>
  <si>
    <t>Мастера 40 - 44 (30.10.1978)/40</t>
  </si>
  <si>
    <t>89,10</t>
  </si>
  <si>
    <t xml:space="preserve">Ставрополь/Ставропольский край </t>
  </si>
  <si>
    <t>56,0</t>
  </si>
  <si>
    <t>Никандров Роман</t>
  </si>
  <si>
    <t xml:space="preserve">Мастера 40 - 44 </t>
  </si>
  <si>
    <t>3080,0</t>
  </si>
  <si>
    <t>34,5679</t>
  </si>
  <si>
    <t>Кубок Евразии по РЖ
Русский жим профессионалы 35 кг.
Краснодар/Краснодарский край 5 - 7 июля 2019 г.</t>
  </si>
  <si>
    <t>1. Скляр Наталья</t>
  </si>
  <si>
    <t>Мастера 50 - 54 (28.01.1967)/52</t>
  </si>
  <si>
    <t>59,00</t>
  </si>
  <si>
    <t>35,0</t>
  </si>
  <si>
    <t xml:space="preserve">Женщины </t>
  </si>
  <si>
    <t>Скляр Наталья</t>
  </si>
  <si>
    <t>1225,0</t>
  </si>
  <si>
    <t>20,7627</t>
  </si>
  <si>
    <t>Кубок Евразии по пауэрспорту
Пауэрспорт Профессионалы
Краснодар/Краснодарский край 5 - 7 июля 2019 г.</t>
  </si>
  <si>
    <t>Кубок Евразии по пауэрспорту
Пауэрспорт Любители
Краснодар/Краснодарский край 5 - 7 июля 2019 г.</t>
  </si>
  <si>
    <t>Shv/Mel</t>
  </si>
  <si>
    <t>Жим стоя</t>
  </si>
  <si>
    <t>Подъем на бицепс</t>
  </si>
  <si>
    <t>ВЕСОВАЯ КАТЕГОРИЯ   67.5</t>
  </si>
  <si>
    <t>1. Каширин Владислав</t>
  </si>
  <si>
    <t>Открытая (09.09.1989)/29</t>
  </si>
  <si>
    <t>67,50</t>
  </si>
  <si>
    <t xml:space="preserve">Russia </t>
  </si>
  <si>
    <t xml:space="preserve">Ессентуки </t>
  </si>
  <si>
    <t xml:space="preserve">72,5 </t>
  </si>
  <si>
    <t>77,5</t>
  </si>
  <si>
    <t>82,5</t>
  </si>
  <si>
    <t xml:space="preserve">42,5 </t>
  </si>
  <si>
    <t>47,5</t>
  </si>
  <si>
    <t xml:space="preserve">52,5 </t>
  </si>
  <si>
    <t xml:space="preserve">Евдокимов И.В. </t>
  </si>
  <si>
    <t xml:space="preserve">Shv/Mel </t>
  </si>
  <si>
    <t>Каширин Владислав</t>
  </si>
  <si>
    <t>67.5</t>
  </si>
  <si>
    <t>135,0</t>
  </si>
  <si>
    <t>97,9830</t>
  </si>
  <si>
    <t>Кубок Евразии по пауэрспорту
Одиночный подъём штанги на бицепс Профессионалы
Краснодар/Краснодарский край 5 - 7 июля 2019 г.</t>
  </si>
  <si>
    <t>Результат</t>
  </si>
  <si>
    <t>Кубок Евразии по пауэрспорту
Одиночный подъём штанги на бицепс Любители
Краснодар/Краснодарский край 5 - 7 июля 2019 г.</t>
  </si>
  <si>
    <t>ВЕСОВАЯ КАТЕГОРИЯ   60</t>
  </si>
  <si>
    <t>1. Кожаев Эльдар</t>
  </si>
  <si>
    <t>Юниоры 20 - 23 (01.05.1998)/21</t>
  </si>
  <si>
    <t>59,50</t>
  </si>
  <si>
    <t xml:space="preserve">Нальчик/Кабардино-Балкария республика </t>
  </si>
  <si>
    <t>37,5</t>
  </si>
  <si>
    <t>45,0</t>
  </si>
  <si>
    <t xml:space="preserve">Губжев Б.Р. </t>
  </si>
  <si>
    <t>52,5</t>
  </si>
  <si>
    <t>ВЕСОВАЯ КАТЕГОРИЯ   75</t>
  </si>
  <si>
    <t>1. Пеков Мухамед</t>
  </si>
  <si>
    <t>Юноши 18 - 19 (26.12.2000)/18</t>
  </si>
  <si>
    <t>74,80</t>
  </si>
  <si>
    <t>ВЕСОВАЯ КАТЕГОРИЯ   82.5</t>
  </si>
  <si>
    <t>1. Карданов Астемир</t>
  </si>
  <si>
    <t>Юноши 18 - 19 (12.06.2000)/19</t>
  </si>
  <si>
    <t>81,20</t>
  </si>
  <si>
    <t xml:space="preserve">Нальчик/Кабардино-Балкария </t>
  </si>
  <si>
    <t xml:space="preserve">47,5 </t>
  </si>
  <si>
    <t>62,5</t>
  </si>
  <si>
    <t>1. Буйвол Александр</t>
  </si>
  <si>
    <t>Открытая (25.12.1991)/27</t>
  </si>
  <si>
    <t>77,20</t>
  </si>
  <si>
    <t>42,5</t>
  </si>
  <si>
    <t>50,0</t>
  </si>
  <si>
    <t xml:space="preserve">Скляр </t>
  </si>
  <si>
    <t>ВЕСОВАЯ КАТЕГОРИЯ   100</t>
  </si>
  <si>
    <t>1. Макеев Александр</t>
  </si>
  <si>
    <t>Открытая (05.12.1987)/31</t>
  </si>
  <si>
    <t>99,10</t>
  </si>
  <si>
    <t xml:space="preserve">67,5 </t>
  </si>
  <si>
    <t>75,0</t>
  </si>
  <si>
    <t xml:space="preserve">75,0 </t>
  </si>
  <si>
    <t xml:space="preserve">Юноши </t>
  </si>
  <si>
    <t xml:space="preserve">Юноши 18 - 19 </t>
  </si>
  <si>
    <t>82.5</t>
  </si>
  <si>
    <t>35,8186</t>
  </si>
  <si>
    <t>75</t>
  </si>
  <si>
    <t>31,7634</t>
  </si>
  <si>
    <t xml:space="preserve">Юниоры </t>
  </si>
  <si>
    <t>Кожаев Эльдар</t>
  </si>
  <si>
    <t xml:space="preserve">Юниоры 20 - 23 </t>
  </si>
  <si>
    <t>60</t>
  </si>
  <si>
    <t>35,5427</t>
  </si>
  <si>
    <t>Макеев Александр</t>
  </si>
  <si>
    <t>41,7225</t>
  </si>
  <si>
    <t>38,1045</t>
  </si>
  <si>
    <t>Буйвол Александр</t>
  </si>
  <si>
    <t>32,4900</t>
  </si>
  <si>
    <t>Кубок Евразии по пауэрспорту
Одиночный жим штанги стоя Профессионалы
Краснодар/Краснодарский край 5 - 7 июля 2019 г.</t>
  </si>
  <si>
    <t>ВЕСОВАЯ КАТЕГОРИЯ   110</t>
  </si>
  <si>
    <t>1. Азимов Зелимхан</t>
  </si>
  <si>
    <t>Открытая (17.08.1992)/26</t>
  </si>
  <si>
    <t>109,00</t>
  </si>
  <si>
    <t xml:space="preserve">Ахмат </t>
  </si>
  <si>
    <t xml:space="preserve">Гудермес/Чечня республика </t>
  </si>
  <si>
    <t>120,0</t>
  </si>
  <si>
    <t xml:space="preserve">130,0 </t>
  </si>
  <si>
    <t>Азимов Зелимхан</t>
  </si>
  <si>
    <t>110</t>
  </si>
  <si>
    <t>130,0</t>
  </si>
  <si>
    <t>69,9010</t>
  </si>
  <si>
    <t>Кубок Евразии по пауэрспорту
Одиночный жим штанги стоя Любители
Краснодар/Краснодарский край 5 - 7 июля 2019 г.</t>
  </si>
  <si>
    <t>72,5</t>
  </si>
  <si>
    <t xml:space="preserve">77,5 </t>
  </si>
  <si>
    <t xml:space="preserve">82,5 </t>
  </si>
  <si>
    <t>59,8785</t>
  </si>
  <si>
    <t>Кубок Евразии по НЖ
Профессионалы народный жим (1/2 вес)
Краснодар/Краснодарский край 5 - 7 июля 2019 г.</t>
  </si>
  <si>
    <t>Кубок Евразии по НЖ
Профессионалы народный жим (1 вес)
Краснодар/Краснодарский край 5 - 7 июля 2019 г.</t>
  </si>
  <si>
    <t>НАП Н.Ж.</t>
  </si>
  <si>
    <t>1. Смыченко Константин</t>
  </si>
  <si>
    <t>Открытая (07.09.1983)/35</t>
  </si>
  <si>
    <t>97,50</t>
  </si>
  <si>
    <t xml:space="preserve">Гулькевичи </t>
  </si>
  <si>
    <t xml:space="preserve">97,5 </t>
  </si>
  <si>
    <t xml:space="preserve">НАП Н.Ж. </t>
  </si>
  <si>
    <t>Смыченко Константин</t>
  </si>
  <si>
    <t>3705,0</t>
  </si>
  <si>
    <t>2514,9540</t>
  </si>
  <si>
    <t>Кубок Евразии по НЖ
Любители народный жим (1/2 вес)
Краснодар/Краснодарский край 5 - 7 июля 2019 г.</t>
  </si>
  <si>
    <t>ВЕСОВАЯ КАТЕГОРИЯ   52</t>
  </si>
  <si>
    <t>1. Севостьянова Анна</t>
  </si>
  <si>
    <t>Юниорки 20 - 23 (01.10.1995)/23</t>
  </si>
  <si>
    <t>49,40</t>
  </si>
  <si>
    <t>25,0</t>
  </si>
  <si>
    <t>46,0</t>
  </si>
  <si>
    <t xml:space="preserve">новосельцев </t>
  </si>
  <si>
    <t xml:space="preserve">Юниорки </t>
  </si>
  <si>
    <t>Севостьянова Анна</t>
  </si>
  <si>
    <t>1150,0</t>
  </si>
  <si>
    <t>1132,0600</t>
  </si>
  <si>
    <t>Кубок Евразии по НЖ
Любители народный жим (1 вес)
Краснодар/Краснодарский край 5 - 7 июля 2019 г.</t>
  </si>
  <si>
    <t>Кубок Евразии по пауэрлифтингу и силовым видам спорта 2019 6 июля
Силовое двоеборье профессианалы
Краснодар/Краснодарский край 5 - 7 июля 2019 г.</t>
  </si>
  <si>
    <t>Кубок Евразии по пауэрлифтингу и силовым видам спорта 2019 6 июля
ПРО присед в софт экипировке
Краснодар/Краснодарский край 5 - 7 июля 2019 г.</t>
  </si>
  <si>
    <t>Приседание</t>
  </si>
  <si>
    <t>1. Бойцевский Александр</t>
  </si>
  <si>
    <t>Открытая (30.05.1987)/32</t>
  </si>
  <si>
    <t>104,70</t>
  </si>
  <si>
    <t>230,0</t>
  </si>
  <si>
    <t>250,0</t>
  </si>
  <si>
    <t xml:space="preserve">260,0 </t>
  </si>
  <si>
    <t>Бойцевский Александр</t>
  </si>
  <si>
    <t>260,0</t>
  </si>
  <si>
    <t>141,5180</t>
  </si>
  <si>
    <t>Кубок Евразии по пауэрлифтингу и силовым видам спорта 2019 6 июля
Любители присед в софт экипировке
Краснодар/Краснодарский край 5 - 7 июля 2019 г.</t>
  </si>
  <si>
    <t>Кубок Евразии по пауэрлифтингу и силовым видам спорта 2019 6 июля
ПРО присед без экипировки
Краснодар/Краснодарский край 5 - 7 июля 2019 г.</t>
  </si>
  <si>
    <t>1. Таловасов Анатолий</t>
  </si>
  <si>
    <t>Мастера 55 - 59 (01.12.1960)/58</t>
  </si>
  <si>
    <t>109,50</t>
  </si>
  <si>
    <t xml:space="preserve">антал </t>
  </si>
  <si>
    <t xml:space="preserve">П. тульский </t>
  </si>
  <si>
    <t>142,5</t>
  </si>
  <si>
    <t xml:space="preserve">Самостоятельно </t>
  </si>
  <si>
    <t>Таловасов Анатолий</t>
  </si>
  <si>
    <t xml:space="preserve">Мастера 55 - 59 </t>
  </si>
  <si>
    <t>117,4839</t>
  </si>
  <si>
    <t>Кубок Евразии по пауэрлифтингу и силовым видам спорта 2019 6 июля
Любители присед без экипировки
Краснодар/Краснодарский край 5 - 7 июля 2019 г.</t>
  </si>
  <si>
    <t>1. Кивандова Римма</t>
  </si>
  <si>
    <t>Открытая (16.10.1991)/27</t>
  </si>
  <si>
    <t>52,00</t>
  </si>
  <si>
    <t xml:space="preserve">колизей </t>
  </si>
  <si>
    <t xml:space="preserve">Белореченск/Краснодарский край </t>
  </si>
  <si>
    <t>65,0</t>
  </si>
  <si>
    <t xml:space="preserve">Торосян В </t>
  </si>
  <si>
    <t>1. Иващенко Кристина</t>
  </si>
  <si>
    <t>Юниорки 20 - 23 (02.11.1998)/20</t>
  </si>
  <si>
    <t>58,00</t>
  </si>
  <si>
    <t>70,0</t>
  </si>
  <si>
    <t>80,0</t>
  </si>
  <si>
    <t>ВЕСОВАЯ КАТЕГОРИЯ   125</t>
  </si>
  <si>
    <t>1. Трудик Андрей</t>
  </si>
  <si>
    <t>Мастера 45 - 49 (16.01.1974)/45</t>
  </si>
  <si>
    <t>118,80</t>
  </si>
  <si>
    <t xml:space="preserve">190,0 </t>
  </si>
  <si>
    <t xml:space="preserve">200,0 </t>
  </si>
  <si>
    <t>205,0</t>
  </si>
  <si>
    <t>Иващенко Кристина</t>
  </si>
  <si>
    <t>72,9817</t>
  </si>
  <si>
    <t>Кивандова Римма</t>
  </si>
  <si>
    <t>63,0077</t>
  </si>
  <si>
    <t>Трудик Андрей</t>
  </si>
  <si>
    <t xml:space="preserve">Мастера 45 - 49 </t>
  </si>
  <si>
    <t>125</t>
  </si>
  <si>
    <t>110,6898</t>
  </si>
  <si>
    <t>Кубок Евразии по пауэрлифтингу и силовым видам спорта 2019 6 июля
ПРО присед в однослойной экипировке
Краснодар/Краснодарский край 5 - 7 июля 2019 г.</t>
  </si>
  <si>
    <t>Кубок Евразии по пауэрлифтингу и силовым видам спорта 2019 6 июля
Любители присед в однослойной экипировке
Краснодар/Краснодарский край 5 - 7 июля 2019 г.</t>
  </si>
  <si>
    <t>Кубок Евразии по пауэрлифтингу и силовым видам спорта 2019 6 июля
ПРО присед в многослойной экипировке
Краснодар/Краснодарский край 5 - 7 июля 2019 г.</t>
  </si>
  <si>
    <t>Кубок Евразии по пауэрлифтингу и силовым видам спорта 2019 6 июля
Любители присед в многослойной экипировке
Краснодар/Краснодарский край 5 - 7 июля 2019 г.</t>
  </si>
  <si>
    <t>Кубок Евразии по пауэрлифтингу и силовым видам спорта 2019 6 июля
ПРО становая тяга в софт экипировке
Краснодар/Краснодарский край 5 - 7 июля 2019 г.</t>
  </si>
  <si>
    <t>Кубок Евразии по пауэрлифтингу и силовым видам спорта 2019 6 июля
Любители становая тяга в софт экипировке
Краснодар/Краснодарский край 5 - 7 июля 2019 г.</t>
  </si>
  <si>
    <t>Кубок Евразии по пауэрлифтингу и силовым видам спорта 2019 6 июля
ПРО становая тяга без экипировки
Краснодар/Краснодарский край 5 - 7 июля 2019 г.</t>
  </si>
  <si>
    <t>Становая тяга</t>
  </si>
  <si>
    <t>Открытая (01.12.1960)/58</t>
  </si>
  <si>
    <t>240,0</t>
  </si>
  <si>
    <t>1. Скляр Олег</t>
  </si>
  <si>
    <t>Мастера 50 - 54 (21.06.1966)/53</t>
  </si>
  <si>
    <t>112,40</t>
  </si>
  <si>
    <t xml:space="preserve">250,0 </t>
  </si>
  <si>
    <t xml:space="preserve">270,0 </t>
  </si>
  <si>
    <t>134,2750</t>
  </si>
  <si>
    <t>206,1121</t>
  </si>
  <si>
    <t>Скляр Олег</t>
  </si>
  <si>
    <t>270,0</t>
  </si>
  <si>
    <t>184,6254</t>
  </si>
  <si>
    <t>Кубок Евразии по пауэрлифтингу и силовым видам спорта 2019 6 июля
Любители становая тяга без экипировки
Краснодар/Краснодарский край 5 - 7 июля 2019 г.</t>
  </si>
  <si>
    <t xml:space="preserve">80,0 </t>
  </si>
  <si>
    <t xml:space="preserve">90,0 </t>
  </si>
  <si>
    <t>95,0</t>
  </si>
  <si>
    <t>1. Скляр Кристина</t>
  </si>
  <si>
    <t>Открытая (25.05.1988)/31</t>
  </si>
  <si>
    <t>125,0</t>
  </si>
  <si>
    <t>137,5</t>
  </si>
  <si>
    <t>1. Евтушенко Елена</t>
  </si>
  <si>
    <t>Открытая (15.09.1986)/32</t>
  </si>
  <si>
    <t>64,40</t>
  </si>
  <si>
    <t xml:space="preserve">140,0 </t>
  </si>
  <si>
    <t xml:space="preserve">145,0 </t>
  </si>
  <si>
    <t>2. Буракова Ирина</t>
  </si>
  <si>
    <t>Открытая (01.05.1985)/34</t>
  </si>
  <si>
    <t>63,20</t>
  </si>
  <si>
    <t xml:space="preserve">Краснодар </t>
  </si>
  <si>
    <t xml:space="preserve">137,5 </t>
  </si>
  <si>
    <t xml:space="preserve">142,5 </t>
  </si>
  <si>
    <t xml:space="preserve">Сизов А. В. </t>
  </si>
  <si>
    <t>3. Шевченко Крестине</t>
  </si>
  <si>
    <t>Открытая (23.12.1983)/35</t>
  </si>
  <si>
    <t>66,60</t>
  </si>
  <si>
    <t>110,0</t>
  </si>
  <si>
    <t>ВЕСОВАЯ КАТЕГОРИЯ   90</t>
  </si>
  <si>
    <t>1. Бондаренко Маргарита</t>
  </si>
  <si>
    <t>Мастера 40 - 44 (08.07.1978)/40</t>
  </si>
  <si>
    <t>85,00</t>
  </si>
  <si>
    <t xml:space="preserve">Евтушенко Е.В </t>
  </si>
  <si>
    <t xml:space="preserve">210,0 </t>
  </si>
  <si>
    <t>1. Читаия Анатолий</t>
  </si>
  <si>
    <t>Юниоры 20 - 23 (05.12.1997)/21</t>
  </si>
  <si>
    <t>82,50</t>
  </si>
  <si>
    <t>225,0</t>
  </si>
  <si>
    <t xml:space="preserve">232,5 </t>
  </si>
  <si>
    <t xml:space="preserve">237,5 </t>
  </si>
  <si>
    <t>1. Кузьмищев Владислав</t>
  </si>
  <si>
    <t>Открытая (18.10.1983)/35</t>
  </si>
  <si>
    <t>79,80</t>
  </si>
  <si>
    <t xml:space="preserve">Алекс фитнес черемушки </t>
  </si>
  <si>
    <t xml:space="preserve">Алчевск/ </t>
  </si>
  <si>
    <t>282,5</t>
  </si>
  <si>
    <t>288,0</t>
  </si>
  <si>
    <t>2. Сивак Сергей</t>
  </si>
  <si>
    <t>Открытая (09.08.1979)/39</t>
  </si>
  <si>
    <t>80,90</t>
  </si>
  <si>
    <t xml:space="preserve">Солнечногорск </t>
  </si>
  <si>
    <t xml:space="preserve">217,5 </t>
  </si>
  <si>
    <t>1. Казакбиев Тажит</t>
  </si>
  <si>
    <t>Открытая (28.08.1992)/26</t>
  </si>
  <si>
    <t xml:space="preserve">Кисловодск/Ставропольский край </t>
  </si>
  <si>
    <t>235,0</t>
  </si>
  <si>
    <t>245,0</t>
  </si>
  <si>
    <t>2. Авербух Лев</t>
  </si>
  <si>
    <t>Открытая (30.09.1990)/28</t>
  </si>
  <si>
    <t>140,0</t>
  </si>
  <si>
    <t>147,5</t>
  </si>
  <si>
    <t>2. Беляков Игорь</t>
  </si>
  <si>
    <t>Открытая (15.10.1991)/27</t>
  </si>
  <si>
    <t>96,00</t>
  </si>
  <si>
    <t>185,0</t>
  </si>
  <si>
    <t xml:space="preserve">275,0 </t>
  </si>
  <si>
    <t xml:space="preserve">285,0 </t>
  </si>
  <si>
    <t>90,0</t>
  </si>
  <si>
    <t>90,9585</t>
  </si>
  <si>
    <t>Евтушенко Елена</t>
  </si>
  <si>
    <t>145,0</t>
  </si>
  <si>
    <t>117,6022</t>
  </si>
  <si>
    <t>Буракова Ирина</t>
  </si>
  <si>
    <t>117,4271</t>
  </si>
  <si>
    <t>Скляр Кристина</t>
  </si>
  <si>
    <t>112,7100</t>
  </si>
  <si>
    <t>Шевченко Крестине</t>
  </si>
  <si>
    <t>98,5250</t>
  </si>
  <si>
    <t>Бондаренко Маргарита</t>
  </si>
  <si>
    <t>85,6180</t>
  </si>
  <si>
    <t>Невзоров Алексей</t>
  </si>
  <si>
    <t>138,5462</t>
  </si>
  <si>
    <t>Читаия Анатолий</t>
  </si>
  <si>
    <t>237,5</t>
  </si>
  <si>
    <t>150,0254</t>
  </si>
  <si>
    <t>Кузьмищев Владислав</t>
  </si>
  <si>
    <t>182,6208</t>
  </si>
  <si>
    <t>150,2010</t>
  </si>
  <si>
    <t>Новосельцев Олег</t>
  </si>
  <si>
    <t>148,5990</t>
  </si>
  <si>
    <t>Казакбиев Тажит</t>
  </si>
  <si>
    <t>144,2805</t>
  </si>
  <si>
    <t>Сивак Сергей</t>
  </si>
  <si>
    <t>136,5683</t>
  </si>
  <si>
    <t>Беляков Игорь</t>
  </si>
  <si>
    <t>122,8440</t>
  </si>
  <si>
    <t>Авербух Лев</t>
  </si>
  <si>
    <t>89,5177</t>
  </si>
  <si>
    <t>Кубок Евразии по пауэрлифтингу и силовым видам спорта 2019 6 июля
ПРО становая тяга в однослойной экипировке
Краснодар/Краснодарский край 5 - 7 июля 2019 г.</t>
  </si>
  <si>
    <t>Кубок Евразии по пауэрлифтингу и силовым видам спорта 2019 6 июля
Любители становая тяга в однослойной экипировке
Краснодар/Краснодарский край 5 - 7 июля 2019 г.</t>
  </si>
  <si>
    <t>Кубок Евразии по пауэрлифтингу и силовым видам спорта 2019 6 июля
ПРО становая тяга в многослойной экипировке
Краснодар/Краснодарский край 5 - 7 июля 2019 г.</t>
  </si>
  <si>
    <t>Кубок Евразии по пауэрлифтингу и силовым видам спорта 2019 6 июля
Любители становая тяга в многослойной экипировке
Краснодар/Краснодарский край 5 - 7 июля 2019 г.</t>
  </si>
  <si>
    <t>Кубок Евразии по пауэрлифтингу и силовым видам спорта 2019 6 июля
ПРО жим лежа в софт экипировке3сл.
Краснодар/Краснодарский край 5 - 7 июля 2019 г.</t>
  </si>
  <si>
    <t>Жим лёжа</t>
  </si>
  <si>
    <t>1. Космынин Владимир</t>
  </si>
  <si>
    <t>Мастера 55 - 59 (12.06.1960)/59</t>
  </si>
  <si>
    <t>72,30</t>
  </si>
  <si>
    <t xml:space="preserve">Кропоткин </t>
  </si>
  <si>
    <t xml:space="preserve">170,0 </t>
  </si>
  <si>
    <t>180,0</t>
  </si>
  <si>
    <t xml:space="preserve">185,0 </t>
  </si>
  <si>
    <t xml:space="preserve">самостоятельно </t>
  </si>
  <si>
    <t>Космынин Владимир</t>
  </si>
  <si>
    <t>201,2868</t>
  </si>
  <si>
    <t>Кубок Евразии по пауэрлифтингу и силовым видам спорта 2019 6 июля
ПРО жим лежа в софт экипировке
Краснодар/Краснодарский край 5 - 7 июля 2019 г.</t>
  </si>
  <si>
    <t>Кубок Евразии по пауэрлифтингу и силовым видам спорта 2019 6 июля
Любители жим лежа в софт экипировке
Краснодар/Краснодарский край 5 - 7 июля 2019 г.</t>
  </si>
  <si>
    <t>1. Сафонов Александр</t>
  </si>
  <si>
    <t>Открытая (18.02.1976)/43</t>
  </si>
  <si>
    <t>89,50</t>
  </si>
  <si>
    <t xml:space="preserve">Сочи/Краснодарский край </t>
  </si>
  <si>
    <t>Мастера 40 - 44 (18.02.1976)/43</t>
  </si>
  <si>
    <t>Сафонов Александр</t>
  </si>
  <si>
    <t>135,0790</t>
  </si>
  <si>
    <t>137,5104</t>
  </si>
  <si>
    <t>Кубок Евразии по пауэрлифтингу и силовым видам спорта 2019 6 июля
ПРО жим лежа без экипировки
Краснодар/Краснодарский край 5 - 7 июля 2019 г.</t>
  </si>
  <si>
    <t>1. Лойко Артем</t>
  </si>
  <si>
    <t>Юноши 16 - 17 (08.04.2003)/16</t>
  </si>
  <si>
    <t>72,90</t>
  </si>
  <si>
    <t xml:space="preserve">Майкоп/Адыгея </t>
  </si>
  <si>
    <t xml:space="preserve">87,5 </t>
  </si>
  <si>
    <t>1. Насонов Роман</t>
  </si>
  <si>
    <t>Открытая (10.12.1990)/28</t>
  </si>
  <si>
    <t>97,70</t>
  </si>
  <si>
    <t>177,5</t>
  </si>
  <si>
    <t xml:space="preserve">177,5 </t>
  </si>
  <si>
    <t xml:space="preserve">182,5 </t>
  </si>
  <si>
    <t>2. Шаламай Игорь</t>
  </si>
  <si>
    <t>Открытая (23.08.1989)/29</t>
  </si>
  <si>
    <t>97,60</t>
  </si>
  <si>
    <t xml:space="preserve">162,5 </t>
  </si>
  <si>
    <t xml:space="preserve">165,0 </t>
  </si>
  <si>
    <t>167,5</t>
  </si>
  <si>
    <t>1. Чубков Сергей</t>
  </si>
  <si>
    <t>Мастера 40 - 44 (03.05.1979)/40</t>
  </si>
  <si>
    <t>121,40</t>
  </si>
  <si>
    <t>197,5</t>
  </si>
  <si>
    <t xml:space="preserve">202,5 </t>
  </si>
  <si>
    <t>Лойко Артем</t>
  </si>
  <si>
    <t xml:space="preserve">Юноши 16 - 17 </t>
  </si>
  <si>
    <t>69,1255</t>
  </si>
  <si>
    <t>190,0</t>
  </si>
  <si>
    <t>103,5880</t>
  </si>
  <si>
    <t>Насонов Роман</t>
  </si>
  <si>
    <t>182,5</t>
  </si>
  <si>
    <t>102,1817</t>
  </si>
  <si>
    <t>Шаламай Игорь</t>
  </si>
  <si>
    <t>93,8335</t>
  </si>
  <si>
    <t>Чубков Сергей</t>
  </si>
  <si>
    <t>106,4340</t>
  </si>
  <si>
    <t>Кубок Евразии по пауэрлифтингу и силовым видам спорта 2019 6 июля
Любители жим лежа без экипировки
Краснодар/Краснодарский край 5 - 7 июля 2019 г.</t>
  </si>
  <si>
    <t>1. Бакаева Вероника</t>
  </si>
  <si>
    <t>Открытая (24.12.1988)/30</t>
  </si>
  <si>
    <t xml:space="preserve">30,0 </t>
  </si>
  <si>
    <t xml:space="preserve">40,0 </t>
  </si>
  <si>
    <t>-. Шокиров Мехрубон</t>
  </si>
  <si>
    <t>Открытая (11.07.1993)/25</t>
  </si>
  <si>
    <t>74,40</t>
  </si>
  <si>
    <t>107,5</t>
  </si>
  <si>
    <t>115,0</t>
  </si>
  <si>
    <t>1. Дворкин Леонид</t>
  </si>
  <si>
    <t>Мастера 75 - 79 (23.01.1941)/78</t>
  </si>
  <si>
    <t>74,00</t>
  </si>
  <si>
    <t>100,0</t>
  </si>
  <si>
    <t>102,5</t>
  </si>
  <si>
    <t xml:space="preserve">120,0 </t>
  </si>
  <si>
    <t xml:space="preserve">150,0 </t>
  </si>
  <si>
    <t xml:space="preserve">155,0 </t>
  </si>
  <si>
    <t xml:space="preserve">157,5 </t>
  </si>
  <si>
    <t>2. Саарян Ишхан</t>
  </si>
  <si>
    <t>Открытая (06.03.1994)/25</t>
  </si>
  <si>
    <t>85,60</t>
  </si>
  <si>
    <t>150,0</t>
  </si>
  <si>
    <t>157,5</t>
  </si>
  <si>
    <t>3. Сафонов Александр</t>
  </si>
  <si>
    <t>4. Гончаров Эдуард</t>
  </si>
  <si>
    <t>-. Тяпкин Евгений</t>
  </si>
  <si>
    <t>Открытая (30.12.1979)/39</t>
  </si>
  <si>
    <t>90,00</t>
  </si>
  <si>
    <t xml:space="preserve">Темрюк/Краснодарский край </t>
  </si>
  <si>
    <t>132,5</t>
  </si>
  <si>
    <t>1. Симонов Андрей</t>
  </si>
  <si>
    <t>Мастера 45 - 49 (06.03.1972)/47</t>
  </si>
  <si>
    <t>101,80</t>
  </si>
  <si>
    <t>-. Чубков Сергей</t>
  </si>
  <si>
    <t>165,0</t>
  </si>
  <si>
    <t>40,0</t>
  </si>
  <si>
    <t>38,7740</t>
  </si>
  <si>
    <t>84,6622</t>
  </si>
  <si>
    <t>92,7518</t>
  </si>
  <si>
    <t>Саарян Ишхан</t>
  </si>
  <si>
    <t>90,6150</t>
  </si>
  <si>
    <t>88,0950</t>
  </si>
  <si>
    <t>68,3905</t>
  </si>
  <si>
    <t>Дворкин Леонид</t>
  </si>
  <si>
    <t xml:space="preserve">Мастера 75 - 79 </t>
  </si>
  <si>
    <t>143,5982</t>
  </si>
  <si>
    <t>Симонов Андрей</t>
  </si>
  <si>
    <t>94,5945</t>
  </si>
  <si>
    <t>89,6807</t>
  </si>
  <si>
    <t>155,0</t>
  </si>
  <si>
    <t>85,7846</t>
  </si>
  <si>
    <t>Кубок Евразии по пауэрлифтингу и силовым видам спорта 2019 6 июля
ПРО жим лежа в однослойной экипировке
Краснодар/Краснодарский край 5 - 7 июля 2019 г.</t>
  </si>
  <si>
    <t>Кубок Евразии по пауэрлифтингу и силовым видам спорта 2019 6 июля
Любители жим лежа в однослойной экипировке
Краснодар/Краснодарский край 5 - 7 июля 2019 г.</t>
  </si>
  <si>
    <t>1. Соловьев Евгений</t>
  </si>
  <si>
    <t>Открытая (20.09.1988)/30</t>
  </si>
  <si>
    <t>81,00</t>
  </si>
  <si>
    <t xml:space="preserve">Ростов-на-Дону/Ростовская область </t>
  </si>
  <si>
    <t xml:space="preserve">180,0 </t>
  </si>
  <si>
    <t>187,5</t>
  </si>
  <si>
    <t>1. Рассказов Александр</t>
  </si>
  <si>
    <t>Мастера 55 - 59 (27.06.1961)/58</t>
  </si>
  <si>
    <t>89,00</t>
  </si>
  <si>
    <t xml:space="preserve">110,0 </t>
  </si>
  <si>
    <t xml:space="preserve">манченко </t>
  </si>
  <si>
    <t>Соловьев Евгений</t>
  </si>
  <si>
    <t>112,9140</t>
  </si>
  <si>
    <t>Рассказов Александр</t>
  </si>
  <si>
    <t>108,5491</t>
  </si>
  <si>
    <t>Кубок Евразии по пауэрлифтингу и силовым видам спорта 2019 6 июля
ПРО жим лежа в многослойной экипировке
Краснодар/Краснодарский край 5 - 7 июля 2019 г.</t>
  </si>
  <si>
    <t>1. Манченко Александр</t>
  </si>
  <si>
    <t>Открытая (05.11.1978)/40</t>
  </si>
  <si>
    <t>117,10</t>
  </si>
  <si>
    <t xml:space="preserve">МАЙКОП </t>
  </si>
  <si>
    <t xml:space="preserve">220,0 </t>
  </si>
  <si>
    <t xml:space="preserve">230,0 </t>
  </si>
  <si>
    <t xml:space="preserve">манченко марина павловна </t>
  </si>
  <si>
    <t>Манченко Александр</t>
  </si>
  <si>
    <t>121,8080</t>
  </si>
  <si>
    <t>Кубок Евразии по пауэрлифтингу и силовым видам спорта 2019 6 июля
Любители жим лежа в многослойной экипировке
Краснодар/Краснодарский край 5 - 7 июля 2019 г.</t>
  </si>
  <si>
    <t>Кубок Евразии по пауэрлифтингу и силовым видам спорта 2019 6 июля
ПРО военный жим
Краснодар/Краснодарский край 5 - 7 июля 2019 г.</t>
  </si>
  <si>
    <t>102,1630</t>
  </si>
  <si>
    <t>Кубок Евразии по пауэрлифтингу и силовым видам спорта 2019 6 июля
Любители военный жим
Краснодар/Краснодарский край 5 - 7 июля 2019 г.</t>
  </si>
  <si>
    <t>1. Еремян Рафаэль</t>
  </si>
  <si>
    <t>Открытая (13.03.1983)/36</t>
  </si>
  <si>
    <t>71,10</t>
  </si>
  <si>
    <t xml:space="preserve">Кропоткин/Краснодарский край </t>
  </si>
  <si>
    <t xml:space="preserve">127,5 </t>
  </si>
  <si>
    <t xml:space="preserve">Космынин В. П. </t>
  </si>
  <si>
    <t>Еремян Рафаэль</t>
  </si>
  <si>
    <t>90,2011</t>
  </si>
  <si>
    <t>Кубок Евразии по пауэрлифтингу и силовым видам спорта 2019 6 июля
ПРО пауэрлифтинг в софт экипировке
Краснодар/Краснодарский край 5 - 7 июля 2019 г.</t>
  </si>
  <si>
    <t>1. Бойцевский Дмитрий</t>
  </si>
  <si>
    <t>Юноши 16 - 17 (16.06.2003)/16</t>
  </si>
  <si>
    <t>110,00</t>
  </si>
  <si>
    <t>162,5</t>
  </si>
  <si>
    <t>170,0</t>
  </si>
  <si>
    <t xml:space="preserve">192,5 </t>
  </si>
  <si>
    <t>="505.00 "</t>
  </si>
  <si>
    <t>Бойцевский Дмитрий</t>
  </si>
  <si>
    <t>505,0</t>
  </si>
  <si>
    <t>306,1537</t>
  </si>
  <si>
    <t>Кубок Евразии по пауэрлифтингу и силовым видам спорта 2019 6 июля
Любители пауэрлифтинг в софт экипировке
Краснодар/Краснодарский край 5 - 7 июля 2019 г.</t>
  </si>
  <si>
    <t>Кубок Евразии по пауэрлифтингу и силовым видам спорта 2019 6 июля
ПРО пауэрлифтинг без экипировки
Краснодар/Краснодарский край 5 - 7 июля 2019 г.</t>
  </si>
  <si>
    <t>1. Гасий Роман</t>
  </si>
  <si>
    <t>Юноши 14-15 (16.05.2004)/15</t>
  </si>
  <si>
    <t>64,30</t>
  </si>
  <si>
    <t xml:space="preserve">70,0 </t>
  </si>
  <si>
    <t>="337.50 "</t>
  </si>
  <si>
    <t xml:space="preserve">Тлевцежев К.Х. </t>
  </si>
  <si>
    <t>1. Тлевцежев Каплан</t>
  </si>
  <si>
    <t>Мастера 60 - 64 (13.02.1956)/63</t>
  </si>
  <si>
    <t>82,00</t>
  </si>
  <si>
    <t xml:space="preserve">Нарт </t>
  </si>
  <si>
    <t xml:space="preserve">Майкоп </t>
  </si>
  <si>
    <t>85,0</t>
  </si>
  <si>
    <t xml:space="preserve">Тлевцежев Каплан Хамедович </t>
  </si>
  <si>
    <t>1. Памбукиди Богдан</t>
  </si>
  <si>
    <t>Юноши 18 - 19 (13.09.1999)/19</t>
  </si>
  <si>
    <t xml:space="preserve">65,0 </t>
  </si>
  <si>
    <t xml:space="preserve">125,0 </t>
  </si>
  <si>
    <t>="300.00 "</t>
  </si>
  <si>
    <t>1. Строганов Денис</t>
  </si>
  <si>
    <t>Мастера 40 - 44 (19.09.1978)/40</t>
  </si>
  <si>
    <t>83,00</t>
  </si>
  <si>
    <t xml:space="preserve">Абинск/Краснодарский край </t>
  </si>
  <si>
    <t>175,0</t>
  </si>
  <si>
    <t xml:space="preserve">135,0 </t>
  </si>
  <si>
    <t>="492.50 "</t>
  </si>
  <si>
    <t>1. Карпенко Владислав</t>
  </si>
  <si>
    <t>Открытая (02.11.1987)/31</t>
  </si>
  <si>
    <t>100,00</t>
  </si>
  <si>
    <t xml:space="preserve">240,0 </t>
  </si>
  <si>
    <t xml:space="preserve">175,0 </t>
  </si>
  <si>
    <t xml:space="preserve">295,0 </t>
  </si>
  <si>
    <t>="745.00 "</t>
  </si>
  <si>
    <t xml:space="preserve">Виталий волков </t>
  </si>
  <si>
    <t>1. Шавоев Яшар</t>
  </si>
  <si>
    <t>Открытая (02.10.1986)/32</t>
  </si>
  <si>
    <t>124,00</t>
  </si>
  <si>
    <t xml:space="preserve">300,0 </t>
  </si>
  <si>
    <t>320,0</t>
  </si>
  <si>
    <t>290,0</t>
  </si>
  <si>
    <t>="800.00 "</t>
  </si>
  <si>
    <t>Гасий Роман</t>
  </si>
  <si>
    <t xml:space="preserve">Юноши 14-15 </t>
  </si>
  <si>
    <t>337,5</t>
  </si>
  <si>
    <t>302,3116</t>
  </si>
  <si>
    <t>Памбукиди Богдан</t>
  </si>
  <si>
    <t>300,0</t>
  </si>
  <si>
    <t>183,8616</t>
  </si>
  <si>
    <t>Шавоев Яшар</t>
  </si>
  <si>
    <t>800,0</t>
  </si>
  <si>
    <t>417,9200</t>
  </si>
  <si>
    <t>Карпенко Владислав</t>
  </si>
  <si>
    <t>745,0</t>
  </si>
  <si>
    <t>412,7300</t>
  </si>
  <si>
    <t>Тлевцежев Каплан</t>
  </si>
  <si>
    <t>440,0</t>
  </si>
  <si>
    <t>495,2812</t>
  </si>
  <si>
    <t>Строганов Денис</t>
  </si>
  <si>
    <t>492,5</t>
  </si>
  <si>
    <t>303,7247</t>
  </si>
  <si>
    <t>Кубок Евразии по пауэрлифтингу и силовым видам спорта 2019 6 июля
Любители пауэрлифтинг без экипировки
Краснодар/Краснодарский край 5 - 7 июля 2019 г.</t>
  </si>
  <si>
    <t>1. Гетажеева Асана</t>
  </si>
  <si>
    <t>Юниорки 20 - 23 (31.12.1998)/20</t>
  </si>
  <si>
    <t xml:space="preserve">Легион </t>
  </si>
  <si>
    <t>1. Писаренко Руслан</t>
  </si>
  <si>
    <t>Юноши 14-15 (04.11.2003)/15</t>
  </si>
  <si>
    <t>58,60</t>
  </si>
  <si>
    <t xml:space="preserve">50,0 </t>
  </si>
  <si>
    <t>60,0</t>
  </si>
  <si>
    <t>="290.00 "</t>
  </si>
  <si>
    <t xml:space="preserve">Новосельцев </t>
  </si>
  <si>
    <t>87,5</t>
  </si>
  <si>
    <t>1. Титов Егор</t>
  </si>
  <si>
    <t>Юноши 16 - 17 (12.02.2002)/17</t>
  </si>
  <si>
    <t>73,50</t>
  </si>
  <si>
    <t xml:space="preserve">Ейск/Краснодарский край </t>
  </si>
  <si>
    <t xml:space="preserve">147,5 </t>
  </si>
  <si>
    <t xml:space="preserve">95,0 </t>
  </si>
  <si>
    <t>="420.00 "</t>
  </si>
  <si>
    <t>2. Старцев Максим</t>
  </si>
  <si>
    <t>Юноши 16 - 17 (01.12.2002)/16</t>
  </si>
  <si>
    <t>74,30</t>
  </si>
  <si>
    <t>1. Питинов Дмитрий</t>
  </si>
  <si>
    <t>Юноши 16 - 17 (04.02.2002)/17</t>
  </si>
  <si>
    <t>81,10</t>
  </si>
  <si>
    <t xml:space="preserve">160,0 </t>
  </si>
  <si>
    <t>="430.00 "</t>
  </si>
  <si>
    <t>1. Черепанов Максим</t>
  </si>
  <si>
    <t>Юниоры 20 - 23 (05.08.1996)/22</t>
  </si>
  <si>
    <t>77,40</t>
  </si>
  <si>
    <t xml:space="preserve">Туапсе/Краснодарский край </t>
  </si>
  <si>
    <t>160,0</t>
  </si>
  <si>
    <t>105,0</t>
  </si>
  <si>
    <t>="405.00 "</t>
  </si>
  <si>
    <t>195,0</t>
  </si>
  <si>
    <t xml:space="preserve">235,0 </t>
  </si>
  <si>
    <t>="587.50 "</t>
  </si>
  <si>
    <t>-. Астанин Максим</t>
  </si>
  <si>
    <t>Открытая (01.03.1994)/25</t>
  </si>
  <si>
    <t>85,50</t>
  </si>
  <si>
    <t>215,0</t>
  </si>
  <si>
    <t>1. Балашов Андрей</t>
  </si>
  <si>
    <t>Юноши 16 - 17 (07.01.2003)/16</t>
  </si>
  <si>
    <t>97,80</t>
  </si>
  <si>
    <t>="425.00 "</t>
  </si>
  <si>
    <t>="620.00 "</t>
  </si>
  <si>
    <t>Гетажеева Асана</t>
  </si>
  <si>
    <t>237,1272</t>
  </si>
  <si>
    <t>Титов Егор</t>
  </si>
  <si>
    <t>420,0</t>
  </si>
  <si>
    <t>306,2707</t>
  </si>
  <si>
    <t>Питинов Дмитрий</t>
  </si>
  <si>
    <t>430,0</t>
  </si>
  <si>
    <t>291,0859</t>
  </si>
  <si>
    <t>Писаренко Руслан</t>
  </si>
  <si>
    <t>285,0526</t>
  </si>
  <si>
    <t>Балашов Андрей</t>
  </si>
  <si>
    <t>425,0</t>
  </si>
  <si>
    <t>268,7959</t>
  </si>
  <si>
    <t>Старцев Максим</t>
  </si>
  <si>
    <t>345,0</t>
  </si>
  <si>
    <t>260,9656</t>
  </si>
  <si>
    <t>Черепанов Максим</t>
  </si>
  <si>
    <t>405,0</t>
  </si>
  <si>
    <t>265,3098</t>
  </si>
  <si>
    <t>236,2542</t>
  </si>
  <si>
    <t>587,5</t>
  </si>
  <si>
    <t>345,9788</t>
  </si>
  <si>
    <t>620,0</t>
  </si>
  <si>
    <t>344,9060</t>
  </si>
  <si>
    <t>Кубок Евразии по пауэрлифтингу и силовым видам спорта 2019 6 июля
ПРО пауэрлифтинг в однослойной экипировке
Краснодар/Краснодарский край 5 - 7 июля 2019 г.</t>
  </si>
  <si>
    <t>Кубок Евразии по пауэрлифтингу и силовым видам спорта 2019 6 июля
Любители пауэрлифтинг в однослойной экипировке
Краснодар/Краснодарский край 5 - 7 июля 2019 г.</t>
  </si>
  <si>
    <t>Кубок Евразии по пауэрлифтингу и силовым видам спорта 2019 6 июля
ПРО пауэрлифтинг в многослойной экипировке
Краснодар/Краснодарский край 5 - 7 июля 2019 г.</t>
  </si>
  <si>
    <t>Кубок Евразии по пауэрлифтингу и силовым видам спорта 2019 6 июля
Любители пауэрлифтинг в многослойной экипировке
Краснодар/Краснодарский край 5 - 7 июля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</si>
</sst>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0"/>
      <name val="Arial"/>
      <family val="0"/>
    </font>
    <font>
      <b/>
      <sz val="2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trike/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3" fillId="0" borderId="0" xfId="0" applyNumberFormat="1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49" fontId="2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5.875" style="1" customWidth="1"/>
    <col min="2" max="2" width="27.875" style="1" customWidth="1"/>
    <col min="3" max="3" width="10.00390625" style="1" customWidth="1"/>
    <col min="4" max="4" width="6.625" style="2" customWidth="1"/>
    <col min="5" max="5" width="23.75390625" style="1" customWidth="1"/>
    <col min="6" max="6" width="21.125" style="1" customWidth="1"/>
    <col min="7" max="7" width="5.625" style="3" customWidth="1"/>
    <col min="8" max="8" width="7.00390625" style="3" customWidth="1"/>
    <col min="9" max="9" width="6.25390625" style="3" customWidth="1"/>
    <col min="10" max="10" width="5.625" style="3" customWidth="1"/>
    <col min="11" max="13" width="7.00390625" style="3" customWidth="1"/>
    <col min="14" max="14" width="5.625" style="3" customWidth="1"/>
    <col min="15" max="16" width="7.00390625" style="3" customWidth="1"/>
    <col min="17" max="17" width="6.25390625" style="3" customWidth="1"/>
    <col min="18" max="18" width="5.625" style="3" customWidth="1"/>
    <col min="19" max="19" width="7.875" style="2" customWidth="1"/>
    <col min="20" max="20" width="8.625" style="4" customWidth="1"/>
    <col min="21" max="21" width="23.00390625" style="1" customWidth="1"/>
    <col min="22" max="16384" width="9.125" style="3" customWidth="1"/>
  </cols>
  <sheetData>
    <row r="1" spans="1:21" s="5" customFormat="1" ht="1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5" customFormat="1" ht="66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s="6" customFormat="1" ht="12.75" customHeight="1">
      <c r="A3" s="36" t="s">
        <v>0</v>
      </c>
      <c r="B3" s="37" t="s">
        <v>1</v>
      </c>
      <c r="C3" s="37" t="s">
        <v>2</v>
      </c>
      <c r="D3" s="38" t="s">
        <v>3</v>
      </c>
      <c r="E3" s="39" t="s">
        <v>4</v>
      </c>
      <c r="F3" s="39" t="s">
        <v>5</v>
      </c>
      <c r="G3" s="40" t="s">
        <v>6</v>
      </c>
      <c r="H3" s="40"/>
      <c r="I3" s="40"/>
      <c r="J3" s="40"/>
      <c r="K3" s="40" t="s">
        <v>7</v>
      </c>
      <c r="L3" s="40"/>
      <c r="M3" s="40"/>
      <c r="N3" s="40"/>
      <c r="O3" s="40" t="s">
        <v>8</v>
      </c>
      <c r="P3" s="40"/>
      <c r="Q3" s="40"/>
      <c r="R3" s="40"/>
      <c r="S3" s="38" t="s">
        <v>9</v>
      </c>
      <c r="T3" s="38" t="s">
        <v>10</v>
      </c>
      <c r="U3" s="41" t="s">
        <v>11</v>
      </c>
    </row>
    <row r="4" spans="1:21" s="6" customFormat="1" ht="21" customHeight="1">
      <c r="A4" s="36"/>
      <c r="B4" s="37"/>
      <c r="C4" s="37"/>
      <c r="D4" s="38"/>
      <c r="E4" s="39"/>
      <c r="F4" s="39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38"/>
      <c r="T4" s="38"/>
      <c r="U4" s="41"/>
    </row>
  </sheetData>
  <sheetProtection selectLockedCells="1" selectUnlockedCells="1"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7" width="2.125" style="3" customWidth="1"/>
    <col min="8" max="8" width="2.125" style="17" customWidth="1"/>
    <col min="9" max="9" width="7.875" style="1" customWidth="1"/>
    <col min="10" max="10" width="6.37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2" t="s">
        <v>114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39</v>
      </c>
      <c r="H3" s="40"/>
      <c r="I3" s="39" t="s">
        <v>40</v>
      </c>
      <c r="J3" s="39" t="s">
        <v>10</v>
      </c>
      <c r="K3" s="41" t="s">
        <v>11</v>
      </c>
    </row>
    <row r="4" spans="1:11" s="6" customFormat="1" ht="21" customHeight="1">
      <c r="A4" s="36"/>
      <c r="B4" s="37"/>
      <c r="C4" s="37"/>
      <c r="D4" s="37"/>
      <c r="E4" s="37"/>
      <c r="F4" s="37"/>
      <c r="G4" s="7" t="s">
        <v>41</v>
      </c>
      <c r="H4" s="18" t="s">
        <v>42</v>
      </c>
      <c r="I4" s="39"/>
      <c r="J4" s="39"/>
      <c r="K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6">
      <selection activeCell="G7" sqref="G7"/>
    </sheetView>
  </sheetViews>
  <sheetFormatPr defaultColWidth="9.125" defaultRowHeight="12.75"/>
  <cols>
    <col min="1" max="1" width="26.00390625" style="1" customWidth="1"/>
    <col min="2" max="2" width="28.625" style="1" customWidth="1"/>
    <col min="3" max="4" width="10.625" style="1" customWidth="1"/>
    <col min="5" max="5" width="22.75390625" style="1" customWidth="1"/>
    <col min="6" max="6" width="32.625" style="1" customWidth="1"/>
    <col min="7" max="7" width="6.875" style="3" customWidth="1"/>
    <col min="8" max="8" width="4.625" style="17" customWidth="1"/>
    <col min="9" max="9" width="7.875" style="1" customWidth="1"/>
    <col min="10" max="10" width="7.62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2" t="s">
        <v>115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6" customFormat="1" ht="12.75" customHeight="1">
      <c r="A3" s="36" t="s">
        <v>0</v>
      </c>
      <c r="B3" s="37" t="s">
        <v>1</v>
      </c>
      <c r="C3" s="37" t="s">
        <v>2</v>
      </c>
      <c r="D3" s="39" t="s">
        <v>83</v>
      </c>
      <c r="E3" s="39" t="s">
        <v>4</v>
      </c>
      <c r="F3" s="39" t="s">
        <v>5</v>
      </c>
      <c r="G3" s="40" t="s">
        <v>39</v>
      </c>
      <c r="H3" s="40"/>
      <c r="I3" s="39" t="s">
        <v>40</v>
      </c>
      <c r="J3" s="39" t="s">
        <v>10</v>
      </c>
      <c r="K3" s="41" t="s">
        <v>11</v>
      </c>
    </row>
    <row r="4" spans="1:11" s="6" customFormat="1" ht="21" customHeight="1">
      <c r="A4" s="36"/>
      <c r="B4" s="37"/>
      <c r="C4" s="37"/>
      <c r="D4" s="37"/>
      <c r="E4" s="37"/>
      <c r="F4" s="37"/>
      <c r="G4" s="7" t="s">
        <v>41</v>
      </c>
      <c r="H4" s="18" t="s">
        <v>42</v>
      </c>
      <c r="I4" s="39"/>
      <c r="J4" s="39"/>
      <c r="K4" s="41"/>
    </row>
    <row r="5" spans="1:10" ht="15">
      <c r="A5" s="43" t="s">
        <v>84</v>
      </c>
      <c r="B5" s="43"/>
      <c r="C5" s="43"/>
      <c r="D5" s="43"/>
      <c r="E5" s="43"/>
      <c r="F5" s="43"/>
      <c r="G5" s="43"/>
      <c r="H5" s="43"/>
      <c r="I5" s="43"/>
      <c r="J5" s="43"/>
    </row>
    <row r="6" spans="1:11" ht="12.75">
      <c r="A6" s="8" t="s">
        <v>116</v>
      </c>
      <c r="B6" s="8" t="s">
        <v>117</v>
      </c>
      <c r="C6" s="8" t="s">
        <v>118</v>
      </c>
      <c r="D6" s="8" t="str">
        <f>"1,0000"</f>
        <v>1,0000</v>
      </c>
      <c r="E6" s="8" t="s">
        <v>19</v>
      </c>
      <c r="F6" s="8" t="s">
        <v>119</v>
      </c>
      <c r="G6" s="9" t="s">
        <v>120</v>
      </c>
      <c r="H6" s="19" t="s">
        <v>121</v>
      </c>
      <c r="I6" s="8" t="str">
        <f>"2800,0"</f>
        <v>2800,0</v>
      </c>
      <c r="J6" s="9" t="str">
        <f>"26,8714"</f>
        <v>26,8714</v>
      </c>
      <c r="K6" s="8" t="s">
        <v>90</v>
      </c>
    </row>
    <row r="7" spans="1:11" ht="12.75">
      <c r="A7" s="20" t="s">
        <v>122</v>
      </c>
      <c r="B7" s="20" t="s">
        <v>123</v>
      </c>
      <c r="C7" s="20" t="s">
        <v>124</v>
      </c>
      <c r="D7" s="20" t="str">
        <f>"1,0000"</f>
        <v>1,0000</v>
      </c>
      <c r="E7" s="20" t="s">
        <v>19</v>
      </c>
      <c r="F7" s="20" t="s">
        <v>125</v>
      </c>
      <c r="G7" s="21" t="s">
        <v>120</v>
      </c>
      <c r="H7" s="22" t="s">
        <v>126</v>
      </c>
      <c r="I7" s="20" t="str">
        <f>"3000,0"</f>
        <v>3000,0</v>
      </c>
      <c r="J7" s="21" t="str">
        <f>"30,3951"</f>
        <v>30,3951</v>
      </c>
      <c r="K7" s="20" t="s">
        <v>90</v>
      </c>
    </row>
    <row r="9" ht="15">
      <c r="E9" s="15" t="s">
        <v>76</v>
      </c>
    </row>
    <row r="10" ht="15">
      <c r="E10" s="15" t="s">
        <v>77</v>
      </c>
    </row>
    <row r="11" ht="15">
      <c r="E11" s="15" t="s">
        <v>78</v>
      </c>
    </row>
    <row r="12" ht="15">
      <c r="E12" s="15" t="s">
        <v>79</v>
      </c>
    </row>
    <row r="13" ht="15">
      <c r="E13" s="15" t="s">
        <v>79</v>
      </c>
    </row>
    <row r="14" ht="15">
      <c r="E14" s="15" t="s">
        <v>80</v>
      </c>
    </row>
    <row r="15" ht="15">
      <c r="E15" s="15"/>
    </row>
    <row r="17" spans="1:2" ht="18">
      <c r="A17" s="16" t="s">
        <v>37</v>
      </c>
      <c r="B17" s="16"/>
    </row>
    <row r="18" spans="1:2" ht="15">
      <c r="A18" s="23" t="s">
        <v>96</v>
      </c>
      <c r="B18" s="23"/>
    </row>
    <row r="19" spans="1:2" ht="14.25">
      <c r="A19" s="24"/>
      <c r="B19" s="25" t="s">
        <v>97</v>
      </c>
    </row>
    <row r="20" spans="1:5" ht="15">
      <c r="A20" s="26" t="s">
        <v>98</v>
      </c>
      <c r="B20" s="26" t="s">
        <v>99</v>
      </c>
      <c r="C20" s="26" t="s">
        <v>100</v>
      </c>
      <c r="D20" s="26" t="s">
        <v>101</v>
      </c>
      <c r="E20" s="26" t="s">
        <v>102</v>
      </c>
    </row>
    <row r="21" spans="1:5" ht="12.75">
      <c r="A21" s="27" t="s">
        <v>127</v>
      </c>
      <c r="B21" s="1" t="s">
        <v>97</v>
      </c>
      <c r="C21" s="1" t="s">
        <v>104</v>
      </c>
      <c r="D21" s="1" t="s">
        <v>128</v>
      </c>
      <c r="E21" s="28" t="s">
        <v>129</v>
      </c>
    </row>
    <row r="23" spans="1:2" ht="14.25">
      <c r="A23" s="24"/>
      <c r="B23" s="25" t="s">
        <v>107</v>
      </c>
    </row>
    <row r="24" spans="1:5" ht="15">
      <c r="A24" s="26" t="s">
        <v>98</v>
      </c>
      <c r="B24" s="26" t="s">
        <v>99</v>
      </c>
      <c r="C24" s="26" t="s">
        <v>100</v>
      </c>
      <c r="D24" s="26" t="s">
        <v>101</v>
      </c>
      <c r="E24" s="26" t="s">
        <v>102</v>
      </c>
    </row>
    <row r="25" spans="1:5" ht="12.75">
      <c r="A25" s="27" t="s">
        <v>130</v>
      </c>
      <c r="B25" s="1" t="s">
        <v>131</v>
      </c>
      <c r="C25" s="1" t="s">
        <v>104</v>
      </c>
      <c r="D25" s="1" t="s">
        <v>132</v>
      </c>
      <c r="E25" s="28" t="s">
        <v>133</v>
      </c>
    </row>
  </sheetData>
  <sheetProtection selectLockedCells="1" selectUnlockedCells="1"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7" width="2.125" style="3" customWidth="1"/>
    <col min="8" max="8" width="2.125" style="17" customWidth="1"/>
    <col min="9" max="9" width="7.875" style="1" customWidth="1"/>
    <col min="10" max="10" width="6.37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2" t="s">
        <v>134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39</v>
      </c>
      <c r="H3" s="40"/>
      <c r="I3" s="39" t="s">
        <v>40</v>
      </c>
      <c r="J3" s="39" t="s">
        <v>10</v>
      </c>
      <c r="K3" s="41" t="s">
        <v>11</v>
      </c>
    </row>
    <row r="4" spans="1:11" s="6" customFormat="1" ht="21" customHeight="1">
      <c r="A4" s="36"/>
      <c r="B4" s="37"/>
      <c r="C4" s="37"/>
      <c r="D4" s="37"/>
      <c r="E4" s="37"/>
      <c r="F4" s="37"/>
      <c r="G4" s="7" t="s">
        <v>41</v>
      </c>
      <c r="H4" s="18" t="s">
        <v>42</v>
      </c>
      <c r="I4" s="39"/>
      <c r="J4" s="39"/>
      <c r="K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6">
      <selection activeCell="G6" sqref="G6"/>
    </sheetView>
  </sheetViews>
  <sheetFormatPr defaultColWidth="9.125" defaultRowHeight="12.75"/>
  <cols>
    <col min="1" max="1" width="26.00390625" style="1" customWidth="1"/>
    <col min="2" max="2" width="28.625" style="1" customWidth="1"/>
    <col min="3" max="4" width="10.625" style="1" customWidth="1"/>
    <col min="5" max="5" width="22.75390625" style="1" customWidth="1"/>
    <col min="6" max="6" width="31.125" style="1" customWidth="1"/>
    <col min="7" max="7" width="5.875" style="3" customWidth="1"/>
    <col min="8" max="8" width="4.625" style="17" customWidth="1"/>
    <col min="9" max="9" width="7.875" style="1" customWidth="1"/>
    <col min="10" max="10" width="7.62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2" t="s">
        <v>135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6" customFormat="1" ht="12.75" customHeight="1">
      <c r="A3" s="36" t="s">
        <v>0</v>
      </c>
      <c r="B3" s="37" t="s">
        <v>1</v>
      </c>
      <c r="C3" s="37" t="s">
        <v>2</v>
      </c>
      <c r="D3" s="39" t="s">
        <v>83</v>
      </c>
      <c r="E3" s="39" t="s">
        <v>4</v>
      </c>
      <c r="F3" s="39" t="s">
        <v>5</v>
      </c>
      <c r="G3" s="40" t="s">
        <v>39</v>
      </c>
      <c r="H3" s="40"/>
      <c r="I3" s="39" t="s">
        <v>40</v>
      </c>
      <c r="J3" s="39" t="s">
        <v>10</v>
      </c>
      <c r="K3" s="41" t="s">
        <v>11</v>
      </c>
    </row>
    <row r="4" spans="1:11" s="6" customFormat="1" ht="21" customHeight="1">
      <c r="A4" s="36"/>
      <c r="B4" s="37"/>
      <c r="C4" s="37"/>
      <c r="D4" s="37"/>
      <c r="E4" s="37"/>
      <c r="F4" s="37"/>
      <c r="G4" s="7" t="s">
        <v>41</v>
      </c>
      <c r="H4" s="18" t="s">
        <v>42</v>
      </c>
      <c r="I4" s="39"/>
      <c r="J4" s="39"/>
      <c r="K4" s="41"/>
    </row>
    <row r="5" spans="1:10" ht="15">
      <c r="A5" s="43" t="s">
        <v>84</v>
      </c>
      <c r="B5" s="43"/>
      <c r="C5" s="43"/>
      <c r="D5" s="43"/>
      <c r="E5" s="43"/>
      <c r="F5" s="43"/>
      <c r="G5" s="43"/>
      <c r="H5" s="43"/>
      <c r="I5" s="43"/>
      <c r="J5" s="43"/>
    </row>
    <row r="6" spans="1:11" ht="12.75">
      <c r="A6" s="11" t="s">
        <v>136</v>
      </c>
      <c r="B6" s="11" t="s">
        <v>137</v>
      </c>
      <c r="C6" s="11" t="s">
        <v>138</v>
      </c>
      <c r="D6" s="11" t="str">
        <f>"1,0000"</f>
        <v>1,0000</v>
      </c>
      <c r="E6" s="11" t="s">
        <v>19</v>
      </c>
      <c r="F6" s="11" t="s">
        <v>139</v>
      </c>
      <c r="G6" s="12" t="s">
        <v>95</v>
      </c>
      <c r="H6" s="29" t="s">
        <v>140</v>
      </c>
      <c r="I6" s="11" t="str">
        <f>"3080,0"</f>
        <v>3080,0</v>
      </c>
      <c r="J6" s="12" t="str">
        <f>"34,5679"</f>
        <v>34,5679</v>
      </c>
      <c r="K6" s="11" t="s">
        <v>90</v>
      </c>
    </row>
    <row r="8" ht="15">
      <c r="E8" s="15" t="s">
        <v>76</v>
      </c>
    </row>
    <row r="9" ht="15">
      <c r="E9" s="15" t="s">
        <v>77</v>
      </c>
    </row>
    <row r="10" ht="15">
      <c r="E10" s="15" t="s">
        <v>78</v>
      </c>
    </row>
    <row r="11" ht="15">
      <c r="E11" s="15" t="s">
        <v>79</v>
      </c>
    </row>
    <row r="12" ht="15">
      <c r="E12" s="15" t="s">
        <v>79</v>
      </c>
    </row>
    <row r="13" ht="15">
      <c r="E13" s="15" t="s">
        <v>80</v>
      </c>
    </row>
    <row r="14" ht="15">
      <c r="E14" s="15"/>
    </row>
    <row r="16" spans="1:2" ht="18">
      <c r="A16" s="16" t="s">
        <v>37</v>
      </c>
      <c r="B16" s="16"/>
    </row>
    <row r="17" spans="1:2" ht="15">
      <c r="A17" s="23" t="s">
        <v>96</v>
      </c>
      <c r="B17" s="23"/>
    </row>
    <row r="18" spans="1:2" ht="14.25">
      <c r="A18" s="24"/>
      <c r="B18" s="25" t="s">
        <v>107</v>
      </c>
    </row>
    <row r="19" spans="1:5" ht="15">
      <c r="A19" s="26" t="s">
        <v>98</v>
      </c>
      <c r="B19" s="26" t="s">
        <v>99</v>
      </c>
      <c r="C19" s="26" t="s">
        <v>100</v>
      </c>
      <c r="D19" s="26" t="s">
        <v>101</v>
      </c>
      <c r="E19" s="26" t="s">
        <v>102</v>
      </c>
    </row>
    <row r="20" spans="1:5" ht="12.75">
      <c r="A20" s="27" t="s">
        <v>141</v>
      </c>
      <c r="B20" s="1" t="s">
        <v>142</v>
      </c>
      <c r="C20" s="1" t="s">
        <v>104</v>
      </c>
      <c r="D20" s="1" t="s">
        <v>143</v>
      </c>
      <c r="E20" s="28" t="s">
        <v>144</v>
      </c>
    </row>
  </sheetData>
  <sheetProtection selectLockedCells="1" selectUnlockedCells="1"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8.625" style="1" customWidth="1"/>
    <col min="3" max="4" width="10.625" style="1" customWidth="1"/>
    <col min="5" max="5" width="22.75390625" style="1" customWidth="1"/>
    <col min="6" max="6" width="29.75390625" style="1" customWidth="1"/>
    <col min="7" max="7" width="4.625" style="3" customWidth="1"/>
    <col min="8" max="8" width="4.625" style="17" customWidth="1"/>
    <col min="9" max="9" width="7.875" style="1" customWidth="1"/>
    <col min="10" max="10" width="7.62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2" t="s">
        <v>145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6" customFormat="1" ht="12.75" customHeight="1">
      <c r="A3" s="36" t="s">
        <v>0</v>
      </c>
      <c r="B3" s="37" t="s">
        <v>1</v>
      </c>
      <c r="C3" s="37" t="s">
        <v>2</v>
      </c>
      <c r="D3" s="39" t="s">
        <v>83</v>
      </c>
      <c r="E3" s="39" t="s">
        <v>4</v>
      </c>
      <c r="F3" s="39" t="s">
        <v>5</v>
      </c>
      <c r="G3" s="40" t="s">
        <v>39</v>
      </c>
      <c r="H3" s="40"/>
      <c r="I3" s="39" t="s">
        <v>40</v>
      </c>
      <c r="J3" s="39" t="s">
        <v>10</v>
      </c>
      <c r="K3" s="41" t="s">
        <v>11</v>
      </c>
    </row>
    <row r="4" spans="1:11" s="6" customFormat="1" ht="21" customHeight="1">
      <c r="A4" s="36"/>
      <c r="B4" s="37"/>
      <c r="C4" s="37"/>
      <c r="D4" s="37"/>
      <c r="E4" s="37"/>
      <c r="F4" s="37"/>
      <c r="G4" s="7" t="s">
        <v>41</v>
      </c>
      <c r="H4" s="18" t="s">
        <v>42</v>
      </c>
      <c r="I4" s="39"/>
      <c r="J4" s="39"/>
      <c r="K4" s="41"/>
    </row>
    <row r="5" spans="1:10" ht="15">
      <c r="A5" s="43" t="s">
        <v>84</v>
      </c>
      <c r="B5" s="43"/>
      <c r="C5" s="43"/>
      <c r="D5" s="43"/>
      <c r="E5" s="43"/>
      <c r="F5" s="43"/>
      <c r="G5" s="43"/>
      <c r="H5" s="43"/>
      <c r="I5" s="43"/>
      <c r="J5" s="43"/>
    </row>
    <row r="6" spans="1:11" ht="12.75">
      <c r="A6" s="11" t="s">
        <v>146</v>
      </c>
      <c r="B6" s="11" t="s">
        <v>147</v>
      </c>
      <c r="C6" s="11" t="s">
        <v>148</v>
      </c>
      <c r="D6" s="11" t="str">
        <f>"1,0000"</f>
        <v>1,0000</v>
      </c>
      <c r="E6" s="11" t="s">
        <v>19</v>
      </c>
      <c r="F6" s="11" t="s">
        <v>46</v>
      </c>
      <c r="G6" s="12" t="s">
        <v>149</v>
      </c>
      <c r="H6" s="29" t="s">
        <v>149</v>
      </c>
      <c r="I6" s="11" t="str">
        <f>"1225,0"</f>
        <v>1225,0</v>
      </c>
      <c r="J6" s="12" t="str">
        <f>"20,7627"</f>
        <v>20,7627</v>
      </c>
      <c r="K6" s="11" t="s">
        <v>90</v>
      </c>
    </row>
    <row r="8" ht="15">
      <c r="E8" s="15" t="s">
        <v>76</v>
      </c>
    </row>
    <row r="9" ht="15">
      <c r="E9" s="15" t="s">
        <v>77</v>
      </c>
    </row>
    <row r="10" ht="15">
      <c r="E10" s="15" t="s">
        <v>78</v>
      </c>
    </row>
    <row r="11" ht="15">
      <c r="E11" s="15" t="s">
        <v>79</v>
      </c>
    </row>
    <row r="12" ht="15">
      <c r="E12" s="15" t="s">
        <v>79</v>
      </c>
    </row>
    <row r="13" ht="15">
      <c r="E13" s="15" t="s">
        <v>80</v>
      </c>
    </row>
    <row r="14" ht="15">
      <c r="E14" s="15"/>
    </row>
    <row r="16" spans="1:2" ht="18">
      <c r="A16" s="16" t="s">
        <v>37</v>
      </c>
      <c r="B16" s="16"/>
    </row>
    <row r="17" spans="1:2" ht="15">
      <c r="A17" s="23" t="s">
        <v>150</v>
      </c>
      <c r="B17" s="23"/>
    </row>
    <row r="18" spans="1:2" ht="14.25">
      <c r="A18" s="24"/>
      <c r="B18" s="25" t="s">
        <v>107</v>
      </c>
    </row>
    <row r="19" spans="1:5" ht="15">
      <c r="A19" s="26" t="s">
        <v>98</v>
      </c>
      <c r="B19" s="26" t="s">
        <v>99</v>
      </c>
      <c r="C19" s="26" t="s">
        <v>100</v>
      </c>
      <c r="D19" s="26" t="s">
        <v>101</v>
      </c>
      <c r="E19" s="26" t="s">
        <v>102</v>
      </c>
    </row>
    <row r="20" spans="1:5" ht="12.75">
      <c r="A20" s="27" t="s">
        <v>151</v>
      </c>
      <c r="B20" s="1" t="s">
        <v>109</v>
      </c>
      <c r="C20" s="1" t="s">
        <v>104</v>
      </c>
      <c r="D20" s="1" t="s">
        <v>152</v>
      </c>
      <c r="E20" s="28" t="s">
        <v>153</v>
      </c>
    </row>
  </sheetData>
  <sheetProtection selectLockedCells="1" selectUnlockedCells="1"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3" width="2.125" style="3" customWidth="1"/>
    <col min="14" max="14" width="4.875" style="3" customWidth="1"/>
    <col min="15" max="15" width="7.875" style="1" customWidth="1"/>
    <col min="16" max="16" width="6.375" style="3" customWidth="1"/>
    <col min="17" max="17" width="8.875" style="1" customWidth="1"/>
    <col min="18" max="16384" width="9.125" style="3" customWidth="1"/>
  </cols>
  <sheetData>
    <row r="1" spans="1:17" s="5" customFormat="1" ht="28.5" customHeight="1">
      <c r="A1" s="42" t="s">
        <v>154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7</v>
      </c>
      <c r="H3" s="40"/>
      <c r="I3" s="40"/>
      <c r="J3" s="40"/>
      <c r="K3" s="40" t="s">
        <v>8</v>
      </c>
      <c r="L3" s="40"/>
      <c r="M3" s="40"/>
      <c r="N3" s="40"/>
      <c r="O3" s="39" t="s">
        <v>9</v>
      </c>
      <c r="P3" s="39" t="s">
        <v>10</v>
      </c>
      <c r="Q3" s="41" t="s">
        <v>11</v>
      </c>
    </row>
    <row r="4" spans="1:17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39"/>
      <c r="P4" s="39"/>
      <c r="Q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2">
    <mergeCell ref="P3:P4"/>
    <mergeCell ref="Q3:Q4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4">
      <selection activeCell="M6" sqref="M6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10.625" style="1" customWidth="1"/>
    <col min="4" max="4" width="9.25390625" style="1" customWidth="1"/>
    <col min="5" max="5" width="22.75390625" style="1" customWidth="1"/>
    <col min="6" max="6" width="17.25390625" style="1" customWidth="1"/>
    <col min="7" max="7" width="5.875" style="3" customWidth="1"/>
    <col min="8" max="9" width="4.625" style="3" customWidth="1"/>
    <col min="10" max="10" width="4.875" style="3" customWidth="1"/>
    <col min="11" max="11" width="5.875" style="3" customWidth="1"/>
    <col min="12" max="12" width="4.625" style="3" customWidth="1"/>
    <col min="13" max="13" width="5.875" style="3" customWidth="1"/>
    <col min="14" max="14" width="4.875" style="3" customWidth="1"/>
    <col min="15" max="15" width="7.875" style="1" customWidth="1"/>
    <col min="16" max="16" width="7.625" style="3" customWidth="1"/>
    <col min="17" max="17" width="15.625" style="1" customWidth="1"/>
    <col min="18" max="16384" width="9.125" style="3" customWidth="1"/>
  </cols>
  <sheetData>
    <row r="1" spans="1:17" s="5" customFormat="1" ht="28.5" customHeight="1">
      <c r="A1" s="42" t="s">
        <v>155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s="6" customFormat="1" ht="12.75" customHeight="1">
      <c r="A3" s="36" t="s">
        <v>0</v>
      </c>
      <c r="B3" s="37" t="s">
        <v>1</v>
      </c>
      <c r="C3" s="37" t="s">
        <v>2</v>
      </c>
      <c r="D3" s="39" t="s">
        <v>156</v>
      </c>
      <c r="E3" s="39" t="s">
        <v>4</v>
      </c>
      <c r="F3" s="39" t="s">
        <v>5</v>
      </c>
      <c r="G3" s="40" t="s">
        <v>157</v>
      </c>
      <c r="H3" s="40"/>
      <c r="I3" s="40"/>
      <c r="J3" s="40"/>
      <c r="K3" s="40" t="s">
        <v>158</v>
      </c>
      <c r="L3" s="40"/>
      <c r="M3" s="40"/>
      <c r="N3" s="40"/>
      <c r="O3" s="39" t="s">
        <v>9</v>
      </c>
      <c r="P3" s="39" t="s">
        <v>10</v>
      </c>
      <c r="Q3" s="41" t="s">
        <v>11</v>
      </c>
    </row>
    <row r="4" spans="1:17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39"/>
      <c r="P4" s="39"/>
      <c r="Q4" s="41"/>
    </row>
    <row r="5" spans="1:16" ht="15">
      <c r="A5" s="43" t="s">
        <v>159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7" ht="12.75">
      <c r="A6" s="11" t="s">
        <v>160</v>
      </c>
      <c r="B6" s="11" t="s">
        <v>161</v>
      </c>
      <c r="C6" s="11" t="s">
        <v>162</v>
      </c>
      <c r="D6" s="11" t="str">
        <f>"0,7258"</f>
        <v>0,7258</v>
      </c>
      <c r="E6" s="11" t="s">
        <v>163</v>
      </c>
      <c r="F6" s="11" t="s">
        <v>164</v>
      </c>
      <c r="G6" s="12" t="s">
        <v>165</v>
      </c>
      <c r="H6" s="12" t="s">
        <v>166</v>
      </c>
      <c r="I6" s="12" t="s">
        <v>167</v>
      </c>
      <c r="J6" s="13"/>
      <c r="K6" s="12" t="s">
        <v>168</v>
      </c>
      <c r="L6" s="12" t="s">
        <v>169</v>
      </c>
      <c r="M6" s="12" t="s">
        <v>170</v>
      </c>
      <c r="N6" s="13"/>
      <c r="O6" s="11" t="str">
        <f>"135,0"</f>
        <v>135,0</v>
      </c>
      <c r="P6" s="12" t="str">
        <f>"97,9830"</f>
        <v>97,9830</v>
      </c>
      <c r="Q6" s="11" t="s">
        <v>171</v>
      </c>
    </row>
    <row r="8" ht="15">
      <c r="E8" s="15" t="s">
        <v>76</v>
      </c>
    </row>
    <row r="9" ht="15">
      <c r="E9" s="15" t="s">
        <v>77</v>
      </c>
    </row>
    <row r="10" ht="15">
      <c r="E10" s="15" t="s">
        <v>78</v>
      </c>
    </row>
    <row r="11" ht="15">
      <c r="E11" s="15" t="s">
        <v>79</v>
      </c>
    </row>
    <row r="12" ht="15">
      <c r="E12" s="15" t="s">
        <v>79</v>
      </c>
    </row>
    <row r="13" ht="15">
      <c r="E13" s="15" t="s">
        <v>80</v>
      </c>
    </row>
    <row r="14" ht="15">
      <c r="E14" s="15"/>
    </row>
    <row r="16" spans="1:2" ht="18">
      <c r="A16" s="16" t="s">
        <v>37</v>
      </c>
      <c r="B16" s="16"/>
    </row>
    <row r="17" spans="1:2" ht="15">
      <c r="A17" s="23" t="s">
        <v>96</v>
      </c>
      <c r="B17" s="23"/>
    </row>
    <row r="18" spans="1:2" ht="14.25">
      <c r="A18" s="24"/>
      <c r="B18" s="25" t="s">
        <v>97</v>
      </c>
    </row>
    <row r="19" spans="1:5" ht="15">
      <c r="A19" s="26" t="s">
        <v>98</v>
      </c>
      <c r="B19" s="26" t="s">
        <v>99</v>
      </c>
      <c r="C19" s="26" t="s">
        <v>100</v>
      </c>
      <c r="D19" s="26" t="s">
        <v>101</v>
      </c>
      <c r="E19" s="26" t="s">
        <v>172</v>
      </c>
    </row>
    <row r="20" spans="1:5" ht="12.75">
      <c r="A20" s="27" t="s">
        <v>173</v>
      </c>
      <c r="B20" s="1" t="s">
        <v>97</v>
      </c>
      <c r="C20" s="1" t="s">
        <v>174</v>
      </c>
      <c r="D20" s="1" t="s">
        <v>175</v>
      </c>
      <c r="E20" s="28" t="s">
        <v>176</v>
      </c>
    </row>
  </sheetData>
  <sheetProtection selectLockedCells="1" selectUnlockedCells="1"/>
  <mergeCells count="13"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2" t="s">
        <v>177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8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">
      <selection activeCell="I19" sqref="I19"/>
    </sheetView>
  </sheetViews>
  <sheetFormatPr defaultColWidth="9.125" defaultRowHeight="12.75"/>
  <cols>
    <col min="1" max="1" width="26.00390625" style="1" customWidth="1"/>
    <col min="2" max="2" width="28.375" style="1" customWidth="1"/>
    <col min="3" max="3" width="10.625" style="1" customWidth="1"/>
    <col min="4" max="4" width="9.25390625" style="1" customWidth="1"/>
    <col min="5" max="5" width="22.75390625" style="1" customWidth="1"/>
    <col min="6" max="6" width="38.75390625" style="1" customWidth="1"/>
    <col min="7" max="9" width="5.875" style="3" customWidth="1"/>
    <col min="10" max="10" width="4.875" style="3" customWidth="1"/>
    <col min="11" max="11" width="7.875" style="1" customWidth="1"/>
    <col min="12" max="12" width="7.625" style="3" customWidth="1"/>
    <col min="13" max="13" width="15.625" style="1" customWidth="1"/>
    <col min="14" max="16384" width="9.125" style="3" customWidth="1"/>
  </cols>
  <sheetData>
    <row r="1" spans="1:13" s="5" customFormat="1" ht="28.5" customHeight="1">
      <c r="A1" s="42" t="s">
        <v>179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 t="s">
        <v>156</v>
      </c>
      <c r="E3" s="39" t="s">
        <v>4</v>
      </c>
      <c r="F3" s="39" t="s">
        <v>5</v>
      </c>
      <c r="G3" s="40" t="s">
        <v>158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5" spans="1:12" ht="15">
      <c r="A5" s="43" t="s">
        <v>180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1" t="s">
        <v>181</v>
      </c>
      <c r="B6" s="11" t="s">
        <v>182</v>
      </c>
      <c r="C6" s="11" t="s">
        <v>183</v>
      </c>
      <c r="D6" s="11" t="str">
        <f>"0,8199"</f>
        <v>0,8199</v>
      </c>
      <c r="E6" s="11" t="s">
        <v>19</v>
      </c>
      <c r="F6" s="11" t="s">
        <v>184</v>
      </c>
      <c r="G6" s="13" t="s">
        <v>185</v>
      </c>
      <c r="H6" s="12" t="s">
        <v>168</v>
      </c>
      <c r="I6" s="13" t="s">
        <v>186</v>
      </c>
      <c r="J6" s="13"/>
      <c r="K6" s="11" t="str">
        <f>"42,5"</f>
        <v>42,5</v>
      </c>
      <c r="L6" s="12" t="str">
        <f>"35,5427"</f>
        <v>35,5427</v>
      </c>
      <c r="M6" s="11" t="s">
        <v>187</v>
      </c>
    </row>
    <row r="8" spans="1:12" ht="15">
      <c r="A8" s="44" t="s">
        <v>159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ht="12.75">
      <c r="A9" s="11" t="s">
        <v>160</v>
      </c>
      <c r="B9" s="11" t="s">
        <v>161</v>
      </c>
      <c r="C9" s="11" t="s">
        <v>162</v>
      </c>
      <c r="D9" s="11" t="str">
        <f>"0,7258"</f>
        <v>0,7258</v>
      </c>
      <c r="E9" s="11" t="s">
        <v>163</v>
      </c>
      <c r="F9" s="11" t="s">
        <v>164</v>
      </c>
      <c r="G9" s="12" t="s">
        <v>168</v>
      </c>
      <c r="H9" s="12" t="s">
        <v>169</v>
      </c>
      <c r="I9" s="12" t="s">
        <v>188</v>
      </c>
      <c r="J9" s="13"/>
      <c r="K9" s="11" t="str">
        <f>"52,5"</f>
        <v>52,5</v>
      </c>
      <c r="L9" s="12" t="str">
        <f>"38,1045"</f>
        <v>38,1045</v>
      </c>
      <c r="M9" s="11" t="s">
        <v>171</v>
      </c>
    </row>
    <row r="11" spans="1:12" ht="15">
      <c r="A11" s="44" t="s">
        <v>189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3" ht="12.75">
      <c r="A12" s="11" t="s">
        <v>190</v>
      </c>
      <c r="B12" s="11" t="s">
        <v>191</v>
      </c>
      <c r="C12" s="11" t="s">
        <v>192</v>
      </c>
      <c r="D12" s="11" t="str">
        <f>"0,6659"</f>
        <v>0,6659</v>
      </c>
      <c r="E12" s="11" t="s">
        <v>19</v>
      </c>
      <c r="F12" s="11" t="s">
        <v>184</v>
      </c>
      <c r="G12" s="12" t="s">
        <v>186</v>
      </c>
      <c r="H12" s="13" t="s">
        <v>188</v>
      </c>
      <c r="I12" s="13" t="s">
        <v>188</v>
      </c>
      <c r="J12" s="13"/>
      <c r="K12" s="11" t="str">
        <f>"45,0"</f>
        <v>45,0</v>
      </c>
      <c r="L12" s="12" t="str">
        <f>"31,7634"</f>
        <v>31,7634</v>
      </c>
      <c r="M12" s="11" t="s">
        <v>187</v>
      </c>
    </row>
    <row r="14" spans="1:12" ht="15">
      <c r="A14" s="44" t="s">
        <v>193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3" ht="12.75">
      <c r="A15" s="8" t="s">
        <v>194</v>
      </c>
      <c r="B15" s="8" t="s">
        <v>195</v>
      </c>
      <c r="C15" s="8" t="s">
        <v>196</v>
      </c>
      <c r="D15" s="8" t="str">
        <f>"0,6262"</f>
        <v>0,6262</v>
      </c>
      <c r="E15" s="8" t="s">
        <v>19</v>
      </c>
      <c r="F15" s="8" t="s">
        <v>197</v>
      </c>
      <c r="G15" s="9" t="s">
        <v>198</v>
      </c>
      <c r="H15" s="9" t="s">
        <v>95</v>
      </c>
      <c r="I15" s="10" t="s">
        <v>199</v>
      </c>
      <c r="J15" s="10"/>
      <c r="K15" s="8" t="str">
        <f>"55,0"</f>
        <v>55,0</v>
      </c>
      <c r="L15" s="9" t="str">
        <f>"35,8186"</f>
        <v>35,8186</v>
      </c>
      <c r="M15" s="8" t="s">
        <v>187</v>
      </c>
    </row>
    <row r="16" spans="1:13" ht="12.75">
      <c r="A16" s="20" t="s">
        <v>200</v>
      </c>
      <c r="B16" s="20" t="s">
        <v>201</v>
      </c>
      <c r="C16" s="20" t="s">
        <v>202</v>
      </c>
      <c r="D16" s="20" t="str">
        <f>"0,6498"</f>
        <v>0,6498</v>
      </c>
      <c r="E16" s="20" t="s">
        <v>19</v>
      </c>
      <c r="F16" s="20" t="s">
        <v>46</v>
      </c>
      <c r="G16" s="21" t="s">
        <v>203</v>
      </c>
      <c r="H16" s="21" t="s">
        <v>169</v>
      </c>
      <c r="I16" s="21" t="s">
        <v>204</v>
      </c>
      <c r="J16" s="30"/>
      <c r="K16" s="20" t="str">
        <f>"50,0"</f>
        <v>50,0</v>
      </c>
      <c r="L16" s="21" t="str">
        <f>"32,4900"</f>
        <v>32,4900</v>
      </c>
      <c r="M16" s="20" t="s">
        <v>205</v>
      </c>
    </row>
    <row r="18" spans="1:12" ht="15">
      <c r="A18" s="44" t="s">
        <v>206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3" ht="12.75">
      <c r="A19" s="11" t="s">
        <v>207</v>
      </c>
      <c r="B19" s="11" t="s">
        <v>208</v>
      </c>
      <c r="C19" s="11" t="s">
        <v>209</v>
      </c>
      <c r="D19" s="11" t="str">
        <f>"0,5563"</f>
        <v>0,5563</v>
      </c>
      <c r="E19" s="11" t="s">
        <v>19</v>
      </c>
      <c r="F19" s="11" t="s">
        <v>46</v>
      </c>
      <c r="G19" s="12" t="s">
        <v>210</v>
      </c>
      <c r="H19" s="13" t="s">
        <v>211</v>
      </c>
      <c r="I19" s="12" t="s">
        <v>212</v>
      </c>
      <c r="J19" s="13"/>
      <c r="K19" s="11" t="str">
        <f>"75,0"</f>
        <v>75,0</v>
      </c>
      <c r="L19" s="12" t="str">
        <f>"41,7225"</f>
        <v>41,7225</v>
      </c>
      <c r="M19" s="11" t="s">
        <v>90</v>
      </c>
    </row>
    <row r="21" ht="15">
      <c r="E21" s="15" t="s">
        <v>76</v>
      </c>
    </row>
    <row r="22" ht="15">
      <c r="E22" s="15" t="s">
        <v>77</v>
      </c>
    </row>
    <row r="23" ht="15">
      <c r="E23" s="15" t="s">
        <v>78</v>
      </c>
    </row>
    <row r="24" ht="15">
      <c r="E24" s="15" t="s">
        <v>79</v>
      </c>
    </row>
    <row r="25" ht="15">
      <c r="E25" s="15" t="s">
        <v>79</v>
      </c>
    </row>
    <row r="26" ht="15">
      <c r="E26" s="15" t="s">
        <v>80</v>
      </c>
    </row>
    <row r="27" ht="15">
      <c r="E27" s="15"/>
    </row>
    <row r="29" spans="1:2" ht="18">
      <c r="A29" s="16" t="s">
        <v>37</v>
      </c>
      <c r="B29" s="16"/>
    </row>
    <row r="30" spans="1:2" ht="15">
      <c r="A30" s="23" t="s">
        <v>96</v>
      </c>
      <c r="B30" s="23"/>
    </row>
    <row r="31" spans="1:2" ht="14.25">
      <c r="A31" s="24"/>
      <c r="B31" s="25" t="s">
        <v>213</v>
      </c>
    </row>
    <row r="32" spans="1:5" ht="15">
      <c r="A32" s="26" t="s">
        <v>98</v>
      </c>
      <c r="B32" s="26" t="s">
        <v>99</v>
      </c>
      <c r="C32" s="26" t="s">
        <v>100</v>
      </c>
      <c r="D32" s="26" t="s">
        <v>101</v>
      </c>
      <c r="E32" s="26" t="s">
        <v>172</v>
      </c>
    </row>
    <row r="33" spans="1:5" ht="12.75">
      <c r="A33" s="27" t="s">
        <v>52</v>
      </c>
      <c r="B33" s="1" t="s">
        <v>214</v>
      </c>
      <c r="C33" s="1" t="s">
        <v>215</v>
      </c>
      <c r="D33" s="1" t="s">
        <v>88</v>
      </c>
      <c r="E33" s="28" t="s">
        <v>216</v>
      </c>
    </row>
    <row r="34" spans="1:5" ht="12.75">
      <c r="A34" s="27" t="s">
        <v>61</v>
      </c>
      <c r="B34" s="1" t="s">
        <v>214</v>
      </c>
      <c r="C34" s="1" t="s">
        <v>217</v>
      </c>
      <c r="D34" s="1" t="s">
        <v>186</v>
      </c>
      <c r="E34" s="28" t="s">
        <v>218</v>
      </c>
    </row>
    <row r="36" spans="1:2" ht="14.25">
      <c r="A36" s="24"/>
      <c r="B36" s="25" t="s">
        <v>219</v>
      </c>
    </row>
    <row r="37" spans="1:5" ht="15">
      <c r="A37" s="26" t="s">
        <v>98</v>
      </c>
      <c r="B37" s="26" t="s">
        <v>99</v>
      </c>
      <c r="C37" s="26" t="s">
        <v>100</v>
      </c>
      <c r="D37" s="26" t="s">
        <v>101</v>
      </c>
      <c r="E37" s="26" t="s">
        <v>172</v>
      </c>
    </row>
    <row r="38" spans="1:5" ht="12.75">
      <c r="A38" s="27" t="s">
        <v>220</v>
      </c>
      <c r="B38" s="1" t="s">
        <v>221</v>
      </c>
      <c r="C38" s="1" t="s">
        <v>222</v>
      </c>
      <c r="D38" s="1" t="s">
        <v>203</v>
      </c>
      <c r="E38" s="28" t="s">
        <v>223</v>
      </c>
    </row>
    <row r="40" spans="1:2" ht="14.25">
      <c r="A40" s="24"/>
      <c r="B40" s="25" t="s">
        <v>97</v>
      </c>
    </row>
    <row r="41" spans="1:5" ht="15">
      <c r="A41" s="26" t="s">
        <v>98</v>
      </c>
      <c r="B41" s="26" t="s">
        <v>99</v>
      </c>
      <c r="C41" s="26" t="s">
        <v>100</v>
      </c>
      <c r="D41" s="26" t="s">
        <v>101</v>
      </c>
      <c r="E41" s="26" t="s">
        <v>172</v>
      </c>
    </row>
    <row r="42" spans="1:5" ht="12.75">
      <c r="A42" s="27" t="s">
        <v>224</v>
      </c>
      <c r="B42" s="1" t="s">
        <v>97</v>
      </c>
      <c r="C42" s="1" t="s">
        <v>57</v>
      </c>
      <c r="D42" s="1" t="s">
        <v>211</v>
      </c>
      <c r="E42" s="28" t="s">
        <v>225</v>
      </c>
    </row>
    <row r="43" spans="1:5" ht="12.75">
      <c r="A43" s="27" t="s">
        <v>173</v>
      </c>
      <c r="B43" s="1" t="s">
        <v>97</v>
      </c>
      <c r="C43" s="1" t="s">
        <v>174</v>
      </c>
      <c r="D43" s="1" t="s">
        <v>188</v>
      </c>
      <c r="E43" s="28" t="s">
        <v>226</v>
      </c>
    </row>
    <row r="44" spans="1:5" ht="12.75">
      <c r="A44" s="27" t="s">
        <v>227</v>
      </c>
      <c r="B44" s="1" t="s">
        <v>97</v>
      </c>
      <c r="C44" s="1" t="s">
        <v>215</v>
      </c>
      <c r="D44" s="1" t="s">
        <v>204</v>
      </c>
      <c r="E44" s="28" t="s">
        <v>228</v>
      </c>
    </row>
  </sheetData>
  <sheetProtection selectLockedCells="1" selectUnlockedCells="1"/>
  <mergeCells count="16">
    <mergeCell ref="M3:M4"/>
    <mergeCell ref="A5:L5"/>
    <mergeCell ref="A8:L8"/>
    <mergeCell ref="A11:L11"/>
    <mergeCell ref="A14:L14"/>
    <mergeCell ref="A18:L1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6" sqref="E6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10.625" style="1" customWidth="1"/>
    <col min="4" max="4" width="9.25390625" style="1" customWidth="1"/>
    <col min="5" max="5" width="22.75390625" style="1" customWidth="1"/>
    <col min="6" max="6" width="26.875" style="1" customWidth="1"/>
    <col min="7" max="7" width="5.625" style="3" customWidth="1"/>
    <col min="8" max="8" width="6.875" style="3" customWidth="1"/>
    <col min="9" max="9" width="5.625" style="3" customWidth="1"/>
    <col min="10" max="10" width="4.875" style="3" customWidth="1"/>
    <col min="11" max="11" width="7.875" style="1" customWidth="1"/>
    <col min="12" max="12" width="7.62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2" t="s">
        <v>229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 t="s">
        <v>156</v>
      </c>
      <c r="E3" s="39" t="s">
        <v>4</v>
      </c>
      <c r="F3" s="39" t="s">
        <v>5</v>
      </c>
      <c r="G3" s="40" t="s">
        <v>157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5" spans="1:12" ht="15">
      <c r="A5" s="43" t="s">
        <v>230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1" t="s">
        <v>231</v>
      </c>
      <c r="B6" s="11" t="s">
        <v>232</v>
      </c>
      <c r="C6" s="11" t="s">
        <v>233</v>
      </c>
      <c r="D6" s="11" t="str">
        <f>"0,5377"</f>
        <v>0,5377</v>
      </c>
      <c r="E6" s="11" t="s">
        <v>234</v>
      </c>
      <c r="F6" s="11" t="s">
        <v>235</v>
      </c>
      <c r="G6" s="12" t="s">
        <v>236</v>
      </c>
      <c r="H6" s="12" t="s">
        <v>237</v>
      </c>
      <c r="I6" s="13" t="s">
        <v>175</v>
      </c>
      <c r="J6" s="13"/>
      <c r="K6" s="11" t="str">
        <f>"130,0"</f>
        <v>130,0</v>
      </c>
      <c r="L6" s="12" t="str">
        <f>"69,9010"</f>
        <v>69,9010</v>
      </c>
      <c r="M6" s="11" t="s">
        <v>90</v>
      </c>
    </row>
    <row r="8" ht="15">
      <c r="E8" s="15" t="s">
        <v>76</v>
      </c>
    </row>
    <row r="9" ht="15">
      <c r="E9" s="15" t="s">
        <v>77</v>
      </c>
    </row>
    <row r="10" ht="15">
      <c r="E10" s="15" t="s">
        <v>78</v>
      </c>
    </row>
    <row r="11" ht="15">
      <c r="E11" s="15" t="s">
        <v>79</v>
      </c>
    </row>
    <row r="12" ht="15">
      <c r="E12" s="15" t="s">
        <v>79</v>
      </c>
    </row>
    <row r="13" ht="15">
      <c r="E13" s="15" t="s">
        <v>80</v>
      </c>
    </row>
    <row r="14" ht="15">
      <c r="E14" s="15"/>
    </row>
    <row r="16" spans="1:2" ht="18">
      <c r="A16" s="16" t="s">
        <v>37</v>
      </c>
      <c r="B16" s="16"/>
    </row>
    <row r="17" spans="1:2" ht="15">
      <c r="A17" s="23" t="s">
        <v>96</v>
      </c>
      <c r="B17" s="23"/>
    </row>
    <row r="18" spans="1:2" ht="14.25">
      <c r="A18" s="24"/>
      <c r="B18" s="25" t="s">
        <v>97</v>
      </c>
    </row>
    <row r="19" spans="1:5" ht="15">
      <c r="A19" s="26" t="s">
        <v>98</v>
      </c>
      <c r="B19" s="26" t="s">
        <v>99</v>
      </c>
      <c r="C19" s="26" t="s">
        <v>100</v>
      </c>
      <c r="D19" s="26" t="s">
        <v>101</v>
      </c>
      <c r="E19" s="26" t="s">
        <v>172</v>
      </c>
    </row>
    <row r="20" spans="1:5" ht="12.75">
      <c r="A20" s="27" t="s">
        <v>238</v>
      </c>
      <c r="B20" s="1" t="s">
        <v>97</v>
      </c>
      <c r="C20" s="1" t="s">
        <v>239</v>
      </c>
      <c r="D20" s="1" t="s">
        <v>240</v>
      </c>
      <c r="E20" s="28" t="s">
        <v>241</v>
      </c>
    </row>
  </sheetData>
  <sheetProtection selectLockedCells="1" selectUnlockedCells="1"/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E8" sqref="E8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8" width="6.75390625" style="3" customWidth="1"/>
    <col min="9" max="9" width="5.25390625" style="3" customWidth="1"/>
    <col min="10" max="10" width="4.875" style="3" customWidth="1"/>
    <col min="11" max="13" width="2.125" style="3" customWidth="1"/>
    <col min="14" max="14" width="4.875" style="3" customWidth="1"/>
    <col min="15" max="15" width="7.875" style="1" customWidth="1"/>
    <col min="16" max="16" width="6.375" style="3" customWidth="1"/>
    <col min="17" max="17" width="8.875" style="1" customWidth="1"/>
    <col min="18" max="16384" width="9.125" style="3" customWidth="1"/>
  </cols>
  <sheetData>
    <row r="1" spans="1:17" s="5" customFormat="1" ht="28.5" customHeight="1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14</v>
      </c>
      <c r="H3" s="40"/>
      <c r="I3" s="40"/>
      <c r="J3" s="40"/>
      <c r="K3" s="40" t="s">
        <v>15</v>
      </c>
      <c r="L3" s="40"/>
      <c r="M3" s="40"/>
      <c r="N3" s="40"/>
      <c r="O3" s="39" t="s">
        <v>9</v>
      </c>
      <c r="P3" s="39" t="s">
        <v>10</v>
      </c>
      <c r="Q3" s="41" t="s">
        <v>11</v>
      </c>
    </row>
    <row r="4" spans="1:17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39"/>
      <c r="P4" s="39"/>
      <c r="Q4" s="41"/>
    </row>
    <row r="5" spans="1:15" ht="12.75">
      <c r="A5" s="8" t="s">
        <v>16</v>
      </c>
      <c r="B5" s="8" t="s">
        <v>17</v>
      </c>
      <c r="C5" s="8" t="s">
        <v>18</v>
      </c>
      <c r="D5" s="8" t="str">
        <f>"0,6224"</f>
        <v>0,6224</v>
      </c>
      <c r="E5" s="8" t="s">
        <v>19</v>
      </c>
      <c r="F5" s="8" t="s">
        <v>20</v>
      </c>
      <c r="G5" s="3" t="s">
        <v>21</v>
      </c>
      <c r="H5" s="3" t="s">
        <v>22</v>
      </c>
      <c r="K5" s="9" t="s">
        <v>23</v>
      </c>
      <c r="L5" s="9" t="s">
        <v>24</v>
      </c>
      <c r="M5" s="10" t="s">
        <v>25</v>
      </c>
      <c r="O5" s="1" t="s">
        <v>26</v>
      </c>
    </row>
    <row r="6" spans="1:15" ht="12.75">
      <c r="A6" s="11" t="s">
        <v>27</v>
      </c>
      <c r="B6" s="11" t="s">
        <v>28</v>
      </c>
      <c r="C6" s="11" t="s">
        <v>29</v>
      </c>
      <c r="D6" s="11" t="str">
        <f>"0,5214"</f>
        <v>0,5214</v>
      </c>
      <c r="E6" s="11" t="s">
        <v>19</v>
      </c>
      <c r="F6" s="11" t="s">
        <v>20</v>
      </c>
      <c r="G6" s="12" t="s">
        <v>30</v>
      </c>
      <c r="H6" s="12" t="s">
        <v>31</v>
      </c>
      <c r="I6" s="13" t="s">
        <v>32</v>
      </c>
      <c r="K6" s="3" t="s">
        <v>33</v>
      </c>
      <c r="L6" s="3" t="s">
        <v>34</v>
      </c>
      <c r="M6" s="14" t="s">
        <v>35</v>
      </c>
      <c r="O6" s="1" t="s">
        <v>36</v>
      </c>
    </row>
    <row r="7" ht="15">
      <c r="E7" s="15"/>
    </row>
    <row r="8" ht="15">
      <c r="E8" s="15"/>
    </row>
    <row r="9" ht="15">
      <c r="E9" s="15"/>
    </row>
    <row r="10" ht="15">
      <c r="E10" s="15"/>
    </row>
    <row r="11" ht="15">
      <c r="E11" s="15"/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2">
    <mergeCell ref="P3:P4"/>
    <mergeCell ref="Q3:Q4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I6" sqref="I6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10.625" style="1" customWidth="1"/>
    <col min="4" max="4" width="9.25390625" style="1" customWidth="1"/>
    <col min="5" max="5" width="22.75390625" style="1" customWidth="1"/>
    <col min="6" max="6" width="17.25390625" style="1" customWidth="1"/>
    <col min="7" max="7" width="4.625" style="3" customWidth="1"/>
    <col min="8" max="9" width="5.875" style="3" customWidth="1"/>
    <col min="10" max="10" width="4.875" style="3" customWidth="1"/>
    <col min="11" max="11" width="7.875" style="1" customWidth="1"/>
    <col min="12" max="12" width="7.625" style="3" customWidth="1"/>
    <col min="13" max="13" width="15.625" style="1" customWidth="1"/>
    <col min="14" max="16384" width="9.125" style="3" customWidth="1"/>
  </cols>
  <sheetData>
    <row r="1" spans="1:13" s="5" customFormat="1" ht="28.5" customHeight="1">
      <c r="A1" s="42" t="s">
        <v>242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 t="s">
        <v>156</v>
      </c>
      <c r="E3" s="39" t="s">
        <v>4</v>
      </c>
      <c r="F3" s="39" t="s">
        <v>5</v>
      </c>
      <c r="G3" s="40" t="s">
        <v>157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5" spans="1:12" ht="15">
      <c r="A5" s="43" t="s">
        <v>159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1" t="s">
        <v>160</v>
      </c>
      <c r="B6" s="11" t="s">
        <v>161</v>
      </c>
      <c r="C6" s="11" t="s">
        <v>162</v>
      </c>
      <c r="D6" s="11" t="str">
        <f>"0,7258"</f>
        <v>0,7258</v>
      </c>
      <c r="E6" s="11" t="s">
        <v>163</v>
      </c>
      <c r="F6" s="11" t="s">
        <v>164</v>
      </c>
      <c r="G6" s="12" t="s">
        <v>243</v>
      </c>
      <c r="H6" s="12" t="s">
        <v>244</v>
      </c>
      <c r="I6" s="12" t="s">
        <v>245</v>
      </c>
      <c r="J6" s="13"/>
      <c r="K6" s="11" t="str">
        <f>"82,5"</f>
        <v>82,5</v>
      </c>
      <c r="L6" s="12" t="str">
        <f>"59,8785"</f>
        <v>59,8785</v>
      </c>
      <c r="M6" s="11" t="s">
        <v>171</v>
      </c>
    </row>
    <row r="8" ht="15">
      <c r="E8" s="15" t="s">
        <v>76</v>
      </c>
    </row>
    <row r="9" ht="15">
      <c r="E9" s="15" t="s">
        <v>77</v>
      </c>
    </row>
    <row r="10" ht="15">
      <c r="E10" s="15" t="s">
        <v>78</v>
      </c>
    </row>
    <row r="11" ht="15">
      <c r="E11" s="15" t="s">
        <v>79</v>
      </c>
    </row>
    <row r="12" ht="15">
      <c r="E12" s="15" t="s">
        <v>79</v>
      </c>
    </row>
    <row r="13" ht="15">
      <c r="E13" s="15" t="s">
        <v>80</v>
      </c>
    </row>
    <row r="14" ht="15">
      <c r="E14" s="15"/>
    </row>
    <row r="16" spans="1:2" ht="18">
      <c r="A16" s="16" t="s">
        <v>37</v>
      </c>
      <c r="B16" s="16"/>
    </row>
    <row r="17" spans="1:2" ht="15">
      <c r="A17" s="23" t="s">
        <v>96</v>
      </c>
      <c r="B17" s="23"/>
    </row>
    <row r="18" spans="1:2" ht="14.25">
      <c r="A18" s="24"/>
      <c r="B18" s="25" t="s">
        <v>97</v>
      </c>
    </row>
    <row r="19" spans="1:5" ht="15">
      <c r="A19" s="26" t="s">
        <v>98</v>
      </c>
      <c r="B19" s="26" t="s">
        <v>99</v>
      </c>
      <c r="C19" s="26" t="s">
        <v>100</v>
      </c>
      <c r="D19" s="26" t="s">
        <v>101</v>
      </c>
      <c r="E19" s="26" t="s">
        <v>172</v>
      </c>
    </row>
    <row r="20" spans="1:5" ht="12.75">
      <c r="A20" s="27" t="s">
        <v>173</v>
      </c>
      <c r="B20" s="1" t="s">
        <v>97</v>
      </c>
      <c r="C20" s="1" t="s">
        <v>174</v>
      </c>
      <c r="D20" s="1" t="s">
        <v>167</v>
      </c>
      <c r="E20" s="28" t="s">
        <v>246</v>
      </c>
    </row>
  </sheetData>
  <sheetProtection selectLockedCells="1" selectUnlockedCells="1"/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7" width="2.125" style="3" customWidth="1"/>
    <col min="8" max="8" width="2.125" style="17" customWidth="1"/>
    <col min="9" max="9" width="7.875" style="1" customWidth="1"/>
    <col min="10" max="10" width="6.37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2" t="s">
        <v>247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39</v>
      </c>
      <c r="H3" s="40"/>
      <c r="I3" s="39" t="s">
        <v>40</v>
      </c>
      <c r="J3" s="39" t="s">
        <v>10</v>
      </c>
      <c r="K3" s="41" t="s">
        <v>11</v>
      </c>
    </row>
    <row r="4" spans="1:11" s="6" customFormat="1" ht="21" customHeight="1">
      <c r="A4" s="36"/>
      <c r="B4" s="37"/>
      <c r="C4" s="37"/>
      <c r="D4" s="37"/>
      <c r="E4" s="37"/>
      <c r="F4" s="37"/>
      <c r="G4" s="7" t="s">
        <v>41</v>
      </c>
      <c r="H4" s="18" t="s">
        <v>42</v>
      </c>
      <c r="I4" s="39"/>
      <c r="J4" s="39"/>
      <c r="K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6" sqref="G6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10.625" style="1" customWidth="1"/>
    <col min="4" max="4" width="10.75390625" style="1" customWidth="1"/>
    <col min="5" max="5" width="22.75390625" style="1" customWidth="1"/>
    <col min="6" max="6" width="17.25390625" style="1" customWidth="1"/>
    <col min="7" max="7" width="5.875" style="3" customWidth="1"/>
    <col min="8" max="8" width="4.625" style="17" customWidth="1"/>
    <col min="9" max="9" width="7.875" style="1" customWidth="1"/>
    <col min="10" max="10" width="9.62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2" t="s">
        <v>248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6" customFormat="1" ht="12.75" customHeight="1">
      <c r="A3" s="36" t="s">
        <v>0</v>
      </c>
      <c r="B3" s="37" t="s">
        <v>1</v>
      </c>
      <c r="C3" s="37" t="s">
        <v>2</v>
      </c>
      <c r="D3" s="39" t="s">
        <v>249</v>
      </c>
      <c r="E3" s="39" t="s">
        <v>4</v>
      </c>
      <c r="F3" s="39" t="s">
        <v>5</v>
      </c>
      <c r="G3" s="40" t="s">
        <v>39</v>
      </c>
      <c r="H3" s="40"/>
      <c r="I3" s="39" t="s">
        <v>40</v>
      </c>
      <c r="J3" s="39" t="s">
        <v>10</v>
      </c>
      <c r="K3" s="41" t="s">
        <v>11</v>
      </c>
    </row>
    <row r="4" spans="1:11" s="6" customFormat="1" ht="21" customHeight="1">
      <c r="A4" s="36"/>
      <c r="B4" s="37"/>
      <c r="C4" s="37"/>
      <c r="D4" s="37"/>
      <c r="E4" s="37"/>
      <c r="F4" s="37"/>
      <c r="G4" s="7" t="s">
        <v>41</v>
      </c>
      <c r="H4" s="18" t="s">
        <v>42</v>
      </c>
      <c r="I4" s="39"/>
      <c r="J4" s="39"/>
      <c r="K4" s="41"/>
    </row>
    <row r="5" spans="1:10" ht="15">
      <c r="A5" s="43" t="s">
        <v>206</v>
      </c>
      <c r="B5" s="43"/>
      <c r="C5" s="43"/>
      <c r="D5" s="43"/>
      <c r="E5" s="43"/>
      <c r="F5" s="43"/>
      <c r="G5" s="43"/>
      <c r="H5" s="43"/>
      <c r="I5" s="43"/>
      <c r="J5" s="43"/>
    </row>
    <row r="6" spans="1:11" ht="12.75">
      <c r="A6" s="11" t="s">
        <v>250</v>
      </c>
      <c r="B6" s="11" t="s">
        <v>251</v>
      </c>
      <c r="C6" s="11" t="s">
        <v>252</v>
      </c>
      <c r="D6" s="11" t="str">
        <f>"0,6788"</f>
        <v>0,6788</v>
      </c>
      <c r="E6" s="11" t="s">
        <v>163</v>
      </c>
      <c r="F6" s="11" t="s">
        <v>253</v>
      </c>
      <c r="G6" s="12" t="s">
        <v>254</v>
      </c>
      <c r="H6" s="29" t="s">
        <v>89</v>
      </c>
      <c r="I6" s="11" t="str">
        <f>"3705,0"</f>
        <v>3705,0</v>
      </c>
      <c r="J6" s="12" t="str">
        <f>"2514,9540"</f>
        <v>2514,9540</v>
      </c>
      <c r="K6" s="11" t="s">
        <v>90</v>
      </c>
    </row>
    <row r="8" ht="15">
      <c r="E8" s="15" t="s">
        <v>76</v>
      </c>
    </row>
    <row r="9" ht="15">
      <c r="E9" s="15" t="s">
        <v>77</v>
      </c>
    </row>
    <row r="10" ht="15">
      <c r="E10" s="15" t="s">
        <v>78</v>
      </c>
    </row>
    <row r="11" ht="15">
      <c r="E11" s="15" t="s">
        <v>79</v>
      </c>
    </row>
    <row r="12" ht="15">
      <c r="E12" s="15" t="s">
        <v>79</v>
      </c>
    </row>
    <row r="13" ht="15">
      <c r="E13" s="15" t="s">
        <v>80</v>
      </c>
    </row>
    <row r="14" ht="15">
      <c r="E14" s="15"/>
    </row>
    <row r="16" spans="1:2" ht="18">
      <c r="A16" s="16" t="s">
        <v>37</v>
      </c>
      <c r="B16" s="16"/>
    </row>
    <row r="17" spans="1:2" ht="15">
      <c r="A17" s="23" t="s">
        <v>96</v>
      </c>
      <c r="B17" s="23"/>
    </row>
    <row r="18" spans="1:2" ht="14.25">
      <c r="A18" s="24"/>
      <c r="B18" s="25" t="s">
        <v>97</v>
      </c>
    </row>
    <row r="19" spans="1:5" ht="15">
      <c r="A19" s="26" t="s">
        <v>98</v>
      </c>
      <c r="B19" s="26" t="s">
        <v>99</v>
      </c>
      <c r="C19" s="26" t="s">
        <v>100</v>
      </c>
      <c r="D19" s="26" t="s">
        <v>101</v>
      </c>
      <c r="E19" s="26" t="s">
        <v>255</v>
      </c>
    </row>
    <row r="20" spans="1:5" ht="12.75">
      <c r="A20" s="27" t="s">
        <v>256</v>
      </c>
      <c r="B20" s="1" t="s">
        <v>97</v>
      </c>
      <c r="C20" s="1" t="s">
        <v>57</v>
      </c>
      <c r="D20" s="1" t="s">
        <v>257</v>
      </c>
      <c r="E20" s="28" t="s">
        <v>258</v>
      </c>
    </row>
  </sheetData>
  <sheetProtection selectLockedCells="1" selectUnlockedCells="1"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9.00390625" style="1" customWidth="1"/>
    <col min="3" max="3" width="10.625" style="1" customWidth="1"/>
    <col min="4" max="4" width="10.75390625" style="1" customWidth="1"/>
    <col min="5" max="5" width="22.75390625" style="1" customWidth="1"/>
    <col min="6" max="6" width="32.00390625" style="1" customWidth="1"/>
    <col min="7" max="7" width="4.625" style="3" customWidth="1"/>
    <col min="8" max="8" width="4.625" style="17" customWidth="1"/>
    <col min="9" max="9" width="7.875" style="1" customWidth="1"/>
    <col min="10" max="10" width="9.625" style="3" customWidth="1"/>
    <col min="11" max="11" width="12.625" style="1" customWidth="1"/>
    <col min="12" max="16384" width="9.125" style="3" customWidth="1"/>
  </cols>
  <sheetData>
    <row r="1" spans="1:11" s="5" customFormat="1" ht="28.5" customHeight="1">
      <c r="A1" s="42" t="s">
        <v>259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6" customFormat="1" ht="12.75" customHeight="1">
      <c r="A3" s="36" t="s">
        <v>0</v>
      </c>
      <c r="B3" s="37" t="s">
        <v>1</v>
      </c>
      <c r="C3" s="37" t="s">
        <v>2</v>
      </c>
      <c r="D3" s="39" t="s">
        <v>249</v>
      </c>
      <c r="E3" s="39" t="s">
        <v>4</v>
      </c>
      <c r="F3" s="39" t="s">
        <v>5</v>
      </c>
      <c r="G3" s="40" t="s">
        <v>39</v>
      </c>
      <c r="H3" s="40"/>
      <c r="I3" s="39" t="s">
        <v>40</v>
      </c>
      <c r="J3" s="39" t="s">
        <v>10</v>
      </c>
      <c r="K3" s="41" t="s">
        <v>11</v>
      </c>
    </row>
    <row r="4" spans="1:11" s="6" customFormat="1" ht="21" customHeight="1">
      <c r="A4" s="36"/>
      <c r="B4" s="37"/>
      <c r="C4" s="37"/>
      <c r="D4" s="37"/>
      <c r="E4" s="37"/>
      <c r="F4" s="37"/>
      <c r="G4" s="7" t="s">
        <v>41</v>
      </c>
      <c r="H4" s="18" t="s">
        <v>42</v>
      </c>
      <c r="I4" s="39"/>
      <c r="J4" s="39"/>
      <c r="K4" s="41"/>
    </row>
    <row r="5" spans="1:10" ht="15">
      <c r="A5" s="43" t="s">
        <v>260</v>
      </c>
      <c r="B5" s="43"/>
      <c r="C5" s="43"/>
      <c r="D5" s="43"/>
      <c r="E5" s="43"/>
      <c r="F5" s="43"/>
      <c r="G5" s="43"/>
      <c r="H5" s="43"/>
      <c r="I5" s="43"/>
      <c r="J5" s="43"/>
    </row>
    <row r="6" spans="1:11" ht="12.75">
      <c r="A6" s="11" t="s">
        <v>261</v>
      </c>
      <c r="B6" s="11" t="s">
        <v>262</v>
      </c>
      <c r="C6" s="11" t="s">
        <v>263</v>
      </c>
      <c r="D6" s="11" t="str">
        <f>"0,9844"</f>
        <v>0,9844</v>
      </c>
      <c r="E6" s="11" t="s">
        <v>19</v>
      </c>
      <c r="F6" s="11" t="s">
        <v>20</v>
      </c>
      <c r="G6" s="12" t="s">
        <v>264</v>
      </c>
      <c r="H6" s="29" t="s">
        <v>265</v>
      </c>
      <c r="I6" s="11" t="str">
        <f>"1150,0"</f>
        <v>1150,0</v>
      </c>
      <c r="J6" s="12" t="str">
        <f>"1132,0600"</f>
        <v>1132,0600</v>
      </c>
      <c r="K6" s="11" t="s">
        <v>266</v>
      </c>
    </row>
    <row r="8" ht="15">
      <c r="E8" s="15" t="s">
        <v>76</v>
      </c>
    </row>
    <row r="9" ht="15">
      <c r="E9" s="15" t="s">
        <v>77</v>
      </c>
    </row>
    <row r="10" ht="15">
      <c r="E10" s="15" t="s">
        <v>78</v>
      </c>
    </row>
    <row r="11" ht="15">
      <c r="E11" s="15" t="s">
        <v>79</v>
      </c>
    </row>
    <row r="12" ht="15">
      <c r="E12" s="15" t="s">
        <v>79</v>
      </c>
    </row>
    <row r="13" ht="15">
      <c r="E13" s="15" t="s">
        <v>80</v>
      </c>
    </row>
    <row r="14" ht="15">
      <c r="E14" s="15"/>
    </row>
    <row r="16" spans="1:2" ht="18">
      <c r="A16" s="16" t="s">
        <v>37</v>
      </c>
      <c r="B16" s="16"/>
    </row>
    <row r="17" spans="1:2" ht="15">
      <c r="A17" s="23" t="s">
        <v>150</v>
      </c>
      <c r="B17" s="23"/>
    </row>
    <row r="18" spans="1:2" ht="14.25">
      <c r="A18" s="24"/>
      <c r="B18" s="25" t="s">
        <v>267</v>
      </c>
    </row>
    <row r="19" spans="1:5" ht="15">
      <c r="A19" s="26" t="s">
        <v>98</v>
      </c>
      <c r="B19" s="26" t="s">
        <v>99</v>
      </c>
      <c r="C19" s="26" t="s">
        <v>100</v>
      </c>
      <c r="D19" s="26" t="s">
        <v>101</v>
      </c>
      <c r="E19" s="26" t="s">
        <v>255</v>
      </c>
    </row>
    <row r="20" spans="1:5" ht="12.75">
      <c r="A20" s="27" t="s">
        <v>268</v>
      </c>
      <c r="B20" s="1" t="s">
        <v>221</v>
      </c>
      <c r="C20" s="1" t="s">
        <v>45</v>
      </c>
      <c r="D20" s="1" t="s">
        <v>269</v>
      </c>
      <c r="E20" s="28" t="s">
        <v>270</v>
      </c>
    </row>
  </sheetData>
  <sheetProtection selectLockedCells="1" selectUnlockedCells="1"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7" width="2.125" style="3" customWidth="1"/>
    <col min="8" max="8" width="2.125" style="17" customWidth="1"/>
    <col min="9" max="9" width="7.875" style="1" customWidth="1"/>
    <col min="10" max="10" width="6.37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2" t="s">
        <v>271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39</v>
      </c>
      <c r="H3" s="40"/>
      <c r="I3" s="39" t="s">
        <v>40</v>
      </c>
      <c r="J3" s="39" t="s">
        <v>10</v>
      </c>
      <c r="K3" s="41" t="s">
        <v>11</v>
      </c>
    </row>
    <row r="4" spans="1:11" s="6" customFormat="1" ht="21" customHeight="1">
      <c r="A4" s="36"/>
      <c r="B4" s="37"/>
      <c r="C4" s="37"/>
      <c r="D4" s="37"/>
      <c r="E4" s="37"/>
      <c r="F4" s="37"/>
      <c r="G4" s="7" t="s">
        <v>41</v>
      </c>
      <c r="H4" s="18" t="s">
        <v>42</v>
      </c>
      <c r="I4" s="39"/>
      <c r="J4" s="39"/>
      <c r="K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3" width="2.125" style="3" customWidth="1"/>
    <col min="14" max="14" width="4.875" style="3" customWidth="1"/>
    <col min="15" max="15" width="7.875" style="1" customWidth="1"/>
    <col min="16" max="16" width="6.375" style="3" customWidth="1"/>
    <col min="17" max="17" width="8.875" style="1" customWidth="1"/>
    <col min="18" max="16384" width="9.125" style="3" customWidth="1"/>
  </cols>
  <sheetData>
    <row r="1" spans="1:17" s="5" customFormat="1" ht="28.5" customHeight="1">
      <c r="A1" s="42" t="s">
        <v>272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7</v>
      </c>
      <c r="H3" s="40"/>
      <c r="I3" s="40"/>
      <c r="J3" s="40"/>
      <c r="K3" s="40" t="s">
        <v>8</v>
      </c>
      <c r="L3" s="40"/>
      <c r="M3" s="40"/>
      <c r="N3" s="40"/>
      <c r="O3" s="39" t="s">
        <v>9</v>
      </c>
      <c r="P3" s="39" t="s">
        <v>10</v>
      </c>
      <c r="Q3" s="41" t="s">
        <v>11</v>
      </c>
    </row>
    <row r="4" spans="1:17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39"/>
      <c r="P4" s="39"/>
      <c r="Q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2">
    <mergeCell ref="P3:P4"/>
    <mergeCell ref="Q3:Q4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I6" sqref="I6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10.625" style="1" customWidth="1"/>
    <col min="4" max="4" width="9.25390625" style="1" customWidth="1"/>
    <col min="5" max="5" width="22.75390625" style="1" customWidth="1"/>
    <col min="6" max="6" width="29.75390625" style="1" customWidth="1"/>
    <col min="7" max="8" width="5.625" style="3" customWidth="1"/>
    <col min="9" max="9" width="6.875" style="3" customWidth="1"/>
    <col min="10" max="10" width="4.875" style="3" customWidth="1"/>
    <col min="11" max="11" width="7.875" style="1" customWidth="1"/>
    <col min="12" max="12" width="8.62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2" t="s">
        <v>273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 t="s">
        <v>156</v>
      </c>
      <c r="E3" s="39" t="s">
        <v>4</v>
      </c>
      <c r="F3" s="39" t="s">
        <v>5</v>
      </c>
      <c r="G3" s="40" t="s">
        <v>274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5" spans="1:12" ht="15">
      <c r="A5" s="43" t="s">
        <v>230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1" t="s">
        <v>275</v>
      </c>
      <c r="B6" s="11" t="s">
        <v>276</v>
      </c>
      <c r="C6" s="11" t="s">
        <v>277</v>
      </c>
      <c r="D6" s="11" t="str">
        <f>"0,5443"</f>
        <v>0,5443</v>
      </c>
      <c r="E6" s="11" t="s">
        <v>19</v>
      </c>
      <c r="F6" s="11" t="s">
        <v>46</v>
      </c>
      <c r="G6" s="12" t="s">
        <v>278</v>
      </c>
      <c r="H6" s="13" t="s">
        <v>279</v>
      </c>
      <c r="I6" s="12" t="s">
        <v>280</v>
      </c>
      <c r="J6" s="13"/>
      <c r="K6" s="11" t="str">
        <f>"260,0"</f>
        <v>260,0</v>
      </c>
      <c r="L6" s="12" t="str">
        <f>"141,5180"</f>
        <v>141,5180</v>
      </c>
      <c r="M6" s="11" t="s">
        <v>90</v>
      </c>
    </row>
    <row r="8" ht="15">
      <c r="E8" s="15" t="s">
        <v>76</v>
      </c>
    </row>
    <row r="9" ht="15">
      <c r="E9" s="15" t="s">
        <v>77</v>
      </c>
    </row>
    <row r="10" ht="15">
      <c r="E10" s="15" t="s">
        <v>78</v>
      </c>
    </row>
    <row r="11" ht="15">
      <c r="E11" s="15" t="s">
        <v>79</v>
      </c>
    </row>
    <row r="12" ht="15">
      <c r="E12" s="15" t="s">
        <v>79</v>
      </c>
    </row>
    <row r="13" ht="15">
      <c r="E13" s="15" t="s">
        <v>80</v>
      </c>
    </row>
    <row r="14" ht="15">
      <c r="E14" s="15"/>
    </row>
    <row r="16" spans="1:2" ht="18">
      <c r="A16" s="16" t="s">
        <v>37</v>
      </c>
      <c r="B16" s="16"/>
    </row>
    <row r="17" spans="1:2" ht="15">
      <c r="A17" s="23" t="s">
        <v>96</v>
      </c>
      <c r="B17" s="23"/>
    </row>
    <row r="18" spans="1:2" ht="14.25">
      <c r="A18" s="24"/>
      <c r="B18" s="25" t="s">
        <v>97</v>
      </c>
    </row>
    <row r="19" spans="1:5" ht="15">
      <c r="A19" s="26" t="s">
        <v>98</v>
      </c>
      <c r="B19" s="26" t="s">
        <v>99</v>
      </c>
      <c r="C19" s="26" t="s">
        <v>100</v>
      </c>
      <c r="D19" s="26" t="s">
        <v>101</v>
      </c>
      <c r="E19" s="26" t="s">
        <v>172</v>
      </c>
    </row>
    <row r="20" spans="1:5" ht="12.75">
      <c r="A20" s="27" t="s">
        <v>281</v>
      </c>
      <c r="B20" s="1" t="s">
        <v>97</v>
      </c>
      <c r="C20" s="1" t="s">
        <v>239</v>
      </c>
      <c r="D20" s="1" t="s">
        <v>282</v>
      </c>
      <c r="E20" s="28" t="s">
        <v>283</v>
      </c>
    </row>
  </sheetData>
  <sheetProtection selectLockedCells="1" selectUnlockedCells="1"/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2" t="s">
        <v>284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6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8.625" style="1" customWidth="1"/>
    <col min="3" max="3" width="10.625" style="1" customWidth="1"/>
    <col min="4" max="4" width="9.25390625" style="1" customWidth="1"/>
    <col min="5" max="5" width="22.75390625" style="1" customWidth="1"/>
    <col min="6" max="6" width="17.25390625" style="1" customWidth="1"/>
    <col min="7" max="9" width="5.625" style="3" customWidth="1"/>
    <col min="10" max="10" width="4.875" style="3" customWidth="1"/>
    <col min="11" max="11" width="7.875" style="1" customWidth="1"/>
    <col min="12" max="12" width="8.625" style="3" customWidth="1"/>
    <col min="13" max="13" width="15.75390625" style="1" customWidth="1"/>
    <col min="14" max="16384" width="9.125" style="3" customWidth="1"/>
  </cols>
  <sheetData>
    <row r="1" spans="1:13" s="5" customFormat="1" ht="28.5" customHeight="1">
      <c r="A1" s="42" t="s">
        <v>285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 t="s">
        <v>156</v>
      </c>
      <c r="E3" s="39" t="s">
        <v>4</v>
      </c>
      <c r="F3" s="39" t="s">
        <v>5</v>
      </c>
      <c r="G3" s="40" t="s">
        <v>274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5" spans="1:12" ht="15">
      <c r="A5" s="43" t="s">
        <v>230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1" t="s">
        <v>286</v>
      </c>
      <c r="B6" s="11" t="s">
        <v>287</v>
      </c>
      <c r="C6" s="11" t="s">
        <v>288</v>
      </c>
      <c r="D6" s="11" t="str">
        <f>"0,5371"</f>
        <v>0,5371</v>
      </c>
      <c r="E6" s="11" t="s">
        <v>289</v>
      </c>
      <c r="F6" s="11" t="s">
        <v>290</v>
      </c>
      <c r="G6" s="12" t="s">
        <v>236</v>
      </c>
      <c r="H6" s="12" t="s">
        <v>240</v>
      </c>
      <c r="I6" s="12" t="s">
        <v>291</v>
      </c>
      <c r="J6" s="13"/>
      <c r="K6" s="11" t="str">
        <f>"142,5"</f>
        <v>142,5</v>
      </c>
      <c r="L6" s="12" t="str">
        <f>"117,4839"</f>
        <v>117,4839</v>
      </c>
      <c r="M6" s="11" t="s">
        <v>292</v>
      </c>
    </row>
    <row r="8" ht="15">
      <c r="E8" s="15" t="s">
        <v>76</v>
      </c>
    </row>
    <row r="9" ht="15">
      <c r="E9" s="15" t="s">
        <v>77</v>
      </c>
    </row>
    <row r="10" ht="15">
      <c r="E10" s="15" t="s">
        <v>78</v>
      </c>
    </row>
    <row r="11" ht="15">
      <c r="E11" s="15" t="s">
        <v>79</v>
      </c>
    </row>
    <row r="12" ht="15">
      <c r="E12" s="15" t="s">
        <v>79</v>
      </c>
    </row>
    <row r="13" ht="15">
      <c r="E13" s="15" t="s">
        <v>80</v>
      </c>
    </row>
    <row r="14" ht="15">
      <c r="E14" s="15"/>
    </row>
    <row r="16" spans="1:2" ht="18">
      <c r="A16" s="16" t="s">
        <v>37</v>
      </c>
      <c r="B16" s="16"/>
    </row>
    <row r="17" spans="1:2" ht="15">
      <c r="A17" s="23" t="s">
        <v>96</v>
      </c>
      <c r="B17" s="23"/>
    </row>
    <row r="18" spans="1:2" ht="14.25">
      <c r="A18" s="24"/>
      <c r="B18" s="25" t="s">
        <v>107</v>
      </c>
    </row>
    <row r="19" spans="1:5" ht="15">
      <c r="A19" s="26" t="s">
        <v>98</v>
      </c>
      <c r="B19" s="26" t="s">
        <v>99</v>
      </c>
      <c r="C19" s="26" t="s">
        <v>100</v>
      </c>
      <c r="D19" s="26" t="s">
        <v>101</v>
      </c>
      <c r="E19" s="26" t="s">
        <v>172</v>
      </c>
    </row>
    <row r="20" spans="1:5" ht="12.75">
      <c r="A20" s="27" t="s">
        <v>293</v>
      </c>
      <c r="B20" s="1" t="s">
        <v>294</v>
      </c>
      <c r="C20" s="1" t="s">
        <v>239</v>
      </c>
      <c r="D20" s="1" t="s">
        <v>291</v>
      </c>
      <c r="E20" s="28" t="s">
        <v>295</v>
      </c>
    </row>
  </sheetData>
  <sheetProtection selectLockedCells="1" selectUnlockedCells="1"/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G12" sqref="G12"/>
    </sheetView>
  </sheetViews>
  <sheetFormatPr defaultColWidth="9.125" defaultRowHeight="12.75"/>
  <cols>
    <col min="1" max="1" width="26.00390625" style="1" customWidth="1"/>
    <col min="2" max="2" width="29.00390625" style="1" customWidth="1"/>
    <col min="3" max="3" width="10.625" style="1" customWidth="1"/>
    <col min="4" max="4" width="9.25390625" style="1" customWidth="1"/>
    <col min="5" max="5" width="22.75390625" style="1" customWidth="1"/>
    <col min="6" max="6" width="32.00390625" style="1" customWidth="1"/>
    <col min="7" max="8" width="6.875" style="3" customWidth="1"/>
    <col min="9" max="9" width="5.625" style="3" customWidth="1"/>
    <col min="10" max="10" width="4.875" style="3" customWidth="1"/>
    <col min="11" max="11" width="7.875" style="1" customWidth="1"/>
    <col min="12" max="12" width="8.625" style="3" customWidth="1"/>
    <col min="13" max="13" width="12.625" style="1" customWidth="1"/>
    <col min="14" max="16384" width="9.125" style="3" customWidth="1"/>
  </cols>
  <sheetData>
    <row r="1" spans="1:13" s="5" customFormat="1" ht="28.5" customHeight="1">
      <c r="A1" s="42" t="s">
        <v>296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 t="s">
        <v>156</v>
      </c>
      <c r="E3" s="39" t="s">
        <v>4</v>
      </c>
      <c r="F3" s="39" t="s">
        <v>5</v>
      </c>
      <c r="G3" s="40" t="s">
        <v>274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5" spans="1:12" ht="15">
      <c r="A5" s="43" t="s">
        <v>260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1" t="s">
        <v>297</v>
      </c>
      <c r="B6" s="11" t="s">
        <v>298</v>
      </c>
      <c r="C6" s="11" t="s">
        <v>299</v>
      </c>
      <c r="D6" s="11" t="str">
        <f>"0,9693"</f>
        <v>0,9693</v>
      </c>
      <c r="E6" s="11" t="s">
        <v>300</v>
      </c>
      <c r="F6" s="11" t="s">
        <v>301</v>
      </c>
      <c r="G6" s="12" t="s">
        <v>204</v>
      </c>
      <c r="H6" s="12" t="s">
        <v>88</v>
      </c>
      <c r="I6" s="12" t="s">
        <v>302</v>
      </c>
      <c r="J6" s="13"/>
      <c r="K6" s="11" t="str">
        <f>"65,0"</f>
        <v>65,0</v>
      </c>
      <c r="L6" s="12" t="str">
        <f>"63,0077"</f>
        <v>63,0077</v>
      </c>
      <c r="M6" s="11" t="s">
        <v>303</v>
      </c>
    </row>
    <row r="8" spans="1:12" ht="15">
      <c r="A8" s="44" t="s">
        <v>180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ht="12.75">
      <c r="A9" s="11" t="s">
        <v>304</v>
      </c>
      <c r="B9" s="11" t="s">
        <v>305</v>
      </c>
      <c r="C9" s="11" t="s">
        <v>306</v>
      </c>
      <c r="D9" s="11" t="str">
        <f>"0,8857"</f>
        <v>0,8857</v>
      </c>
      <c r="E9" s="11" t="s">
        <v>300</v>
      </c>
      <c r="F9" s="11" t="s">
        <v>301</v>
      </c>
      <c r="G9" s="13" t="s">
        <v>307</v>
      </c>
      <c r="H9" s="12" t="s">
        <v>243</v>
      </c>
      <c r="I9" s="12" t="s">
        <v>308</v>
      </c>
      <c r="J9" s="13"/>
      <c r="K9" s="11" t="str">
        <f>"80,0"</f>
        <v>80,0</v>
      </c>
      <c r="L9" s="12" t="str">
        <f>"72,9817"</f>
        <v>72,9817</v>
      </c>
      <c r="M9" s="11" t="s">
        <v>303</v>
      </c>
    </row>
    <row r="11" spans="1:12" ht="15">
      <c r="A11" s="44" t="s">
        <v>309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3" ht="12.75">
      <c r="A12" s="11" t="s">
        <v>310</v>
      </c>
      <c r="B12" s="11" t="s">
        <v>311</v>
      </c>
      <c r="C12" s="11" t="s">
        <v>312</v>
      </c>
      <c r="D12" s="11" t="str">
        <f>"0,5281"</f>
        <v>0,5281</v>
      </c>
      <c r="E12" s="11" t="s">
        <v>19</v>
      </c>
      <c r="F12" s="11" t="s">
        <v>20</v>
      </c>
      <c r="G12" s="12" t="s">
        <v>313</v>
      </c>
      <c r="H12" s="12" t="s">
        <v>314</v>
      </c>
      <c r="I12" s="13" t="s">
        <v>315</v>
      </c>
      <c r="J12" s="13"/>
      <c r="K12" s="11" t="str">
        <f>"200,0"</f>
        <v>200,0</v>
      </c>
      <c r="L12" s="12" t="str">
        <f>"110,6898"</f>
        <v>110,6898</v>
      </c>
      <c r="M12" s="11" t="s">
        <v>266</v>
      </c>
    </row>
    <row r="14" ht="15">
      <c r="E14" s="15" t="s">
        <v>76</v>
      </c>
    </row>
    <row r="15" ht="15">
      <c r="E15" s="15" t="s">
        <v>77</v>
      </c>
    </row>
    <row r="16" ht="15">
      <c r="E16" s="15" t="s">
        <v>78</v>
      </c>
    </row>
    <row r="17" ht="15">
      <c r="E17" s="15" t="s">
        <v>79</v>
      </c>
    </row>
    <row r="18" ht="15">
      <c r="E18" s="15" t="s">
        <v>79</v>
      </c>
    </row>
    <row r="19" ht="15">
      <c r="E19" s="15" t="s">
        <v>80</v>
      </c>
    </row>
    <row r="20" ht="15">
      <c r="E20" s="15"/>
    </row>
    <row r="22" spans="1:2" ht="18">
      <c r="A22" s="16" t="s">
        <v>37</v>
      </c>
      <c r="B22" s="16"/>
    </row>
    <row r="23" spans="1:2" ht="15">
      <c r="A23" s="23" t="s">
        <v>150</v>
      </c>
      <c r="B23" s="23"/>
    </row>
    <row r="24" spans="1:2" ht="14.25">
      <c r="A24" s="24"/>
      <c r="B24" s="25" t="s">
        <v>267</v>
      </c>
    </row>
    <row r="25" spans="1:5" ht="15">
      <c r="A25" s="26" t="s">
        <v>98</v>
      </c>
      <c r="B25" s="26" t="s">
        <v>99</v>
      </c>
      <c r="C25" s="26" t="s">
        <v>100</v>
      </c>
      <c r="D25" s="26" t="s">
        <v>101</v>
      </c>
      <c r="E25" s="26" t="s">
        <v>172</v>
      </c>
    </row>
    <row r="26" spans="1:5" ht="12.75">
      <c r="A26" s="27" t="s">
        <v>316</v>
      </c>
      <c r="B26" s="1" t="s">
        <v>221</v>
      </c>
      <c r="C26" s="1" t="s">
        <v>222</v>
      </c>
      <c r="D26" s="1" t="s">
        <v>308</v>
      </c>
      <c r="E26" s="28" t="s">
        <v>317</v>
      </c>
    </row>
    <row r="28" spans="1:2" ht="14.25">
      <c r="A28" s="24"/>
      <c r="B28" s="25" t="s">
        <v>97</v>
      </c>
    </row>
    <row r="29" spans="1:5" ht="15">
      <c r="A29" s="26" t="s">
        <v>98</v>
      </c>
      <c r="B29" s="26" t="s">
        <v>99</v>
      </c>
      <c r="C29" s="26" t="s">
        <v>100</v>
      </c>
      <c r="D29" s="26" t="s">
        <v>101</v>
      </c>
      <c r="E29" s="26" t="s">
        <v>172</v>
      </c>
    </row>
    <row r="30" spans="1:5" ht="12.75">
      <c r="A30" s="27" t="s">
        <v>318</v>
      </c>
      <c r="B30" s="1" t="s">
        <v>97</v>
      </c>
      <c r="C30" s="1" t="s">
        <v>45</v>
      </c>
      <c r="D30" s="1" t="s">
        <v>302</v>
      </c>
      <c r="E30" s="28" t="s">
        <v>319</v>
      </c>
    </row>
    <row r="33" spans="1:2" ht="15">
      <c r="A33" s="23" t="s">
        <v>96</v>
      </c>
      <c r="B33" s="23"/>
    </row>
    <row r="34" spans="1:2" ht="14.25">
      <c r="A34" s="24"/>
      <c r="B34" s="25" t="s">
        <v>107</v>
      </c>
    </row>
    <row r="35" spans="1:5" ht="15">
      <c r="A35" s="26" t="s">
        <v>98</v>
      </c>
      <c r="B35" s="26" t="s">
        <v>99</v>
      </c>
      <c r="C35" s="26" t="s">
        <v>100</v>
      </c>
      <c r="D35" s="26" t="s">
        <v>101</v>
      </c>
      <c r="E35" s="26" t="s">
        <v>172</v>
      </c>
    </row>
    <row r="36" spans="1:5" ht="12.75">
      <c r="A36" s="27" t="s">
        <v>320</v>
      </c>
      <c r="B36" s="1" t="s">
        <v>321</v>
      </c>
      <c r="C36" s="1" t="s">
        <v>322</v>
      </c>
      <c r="D36" s="1" t="s">
        <v>23</v>
      </c>
      <c r="E36" s="28" t="s">
        <v>323</v>
      </c>
    </row>
  </sheetData>
  <sheetProtection selectLockedCells="1" selectUnlockedCells="1"/>
  <mergeCells count="14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B5" sqref="B5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17.625" style="1" customWidth="1"/>
    <col min="6" max="6" width="4.75390625" style="1" customWidth="1"/>
    <col min="7" max="7" width="4.875" style="3" customWidth="1"/>
    <col min="8" max="8" width="11.25390625" style="17" customWidth="1"/>
    <col min="9" max="9" width="7.875" style="1" customWidth="1"/>
    <col min="10" max="10" width="6.37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2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39</v>
      </c>
      <c r="H3" s="40"/>
      <c r="I3" s="39" t="s">
        <v>40</v>
      </c>
      <c r="J3" s="39" t="s">
        <v>10</v>
      </c>
      <c r="K3" s="41" t="s">
        <v>11</v>
      </c>
    </row>
    <row r="4" spans="1:11" s="6" customFormat="1" ht="21" customHeight="1">
      <c r="A4" s="36"/>
      <c r="B4" s="37"/>
      <c r="C4" s="37"/>
      <c r="D4" s="37"/>
      <c r="E4" s="37"/>
      <c r="F4" s="37"/>
      <c r="G4" s="7" t="s">
        <v>41</v>
      </c>
      <c r="H4" s="18" t="s">
        <v>42</v>
      </c>
      <c r="I4" s="39"/>
      <c r="J4" s="39"/>
      <c r="K4" s="41"/>
    </row>
    <row r="5" spans="1:9" ht="12.75">
      <c r="A5" s="1" t="s">
        <v>43</v>
      </c>
      <c r="B5" s="1" t="s">
        <v>44</v>
      </c>
      <c r="C5" s="1" t="s">
        <v>45</v>
      </c>
      <c r="F5" s="11" t="s">
        <v>46</v>
      </c>
      <c r="G5" s="3" t="s">
        <v>47</v>
      </c>
      <c r="H5" s="17">
        <v>22</v>
      </c>
      <c r="I5" s="1" t="s">
        <v>48</v>
      </c>
    </row>
    <row r="6" ht="12.75">
      <c r="E6"/>
    </row>
    <row r="7" ht="12.75">
      <c r="E7"/>
    </row>
    <row r="8" ht="12.75">
      <c r="E8"/>
    </row>
    <row r="9" ht="12.75">
      <c r="E9"/>
    </row>
    <row r="10" ht="12.75">
      <c r="E10"/>
    </row>
    <row r="11" ht="12.75">
      <c r="E11"/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2" t="s">
        <v>324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6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2" t="s">
        <v>325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6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2" t="s">
        <v>326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6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2" t="s">
        <v>327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6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2" t="s">
        <v>328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8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2" t="s">
        <v>329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8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10" sqref="G10"/>
    </sheetView>
  </sheetViews>
  <sheetFormatPr defaultColWidth="9.125" defaultRowHeight="12.75"/>
  <cols>
    <col min="1" max="1" width="26.00390625" style="1" customWidth="1"/>
    <col min="2" max="2" width="28.625" style="1" customWidth="1"/>
    <col min="3" max="3" width="10.625" style="1" customWidth="1"/>
    <col min="4" max="4" width="9.25390625" style="1" customWidth="1"/>
    <col min="5" max="5" width="22.75390625" style="1" customWidth="1"/>
    <col min="6" max="6" width="29.75390625" style="1" customWidth="1"/>
    <col min="7" max="9" width="6.875" style="3" customWidth="1"/>
    <col min="10" max="10" width="4.875" style="3" customWidth="1"/>
    <col min="11" max="11" width="7.875" style="1" customWidth="1"/>
    <col min="12" max="12" width="8.625" style="3" customWidth="1"/>
    <col min="13" max="13" width="15.75390625" style="1" customWidth="1"/>
    <col min="14" max="16384" width="9.125" style="3" customWidth="1"/>
  </cols>
  <sheetData>
    <row r="1" spans="1:13" s="5" customFormat="1" ht="28.5" customHeight="1">
      <c r="A1" s="42" t="s">
        <v>330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 t="s">
        <v>156</v>
      </c>
      <c r="E3" s="39" t="s">
        <v>4</v>
      </c>
      <c r="F3" s="39" t="s">
        <v>5</v>
      </c>
      <c r="G3" s="40" t="s">
        <v>331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5" spans="1:12" ht="15">
      <c r="A5" s="43" t="s">
        <v>230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8" t="s">
        <v>286</v>
      </c>
      <c r="B6" s="8" t="s">
        <v>332</v>
      </c>
      <c r="C6" s="8" t="s">
        <v>288</v>
      </c>
      <c r="D6" s="8" t="str">
        <f>"0,5371"</f>
        <v>0,5371</v>
      </c>
      <c r="E6" s="8" t="s">
        <v>289</v>
      </c>
      <c r="F6" s="8" t="s">
        <v>290</v>
      </c>
      <c r="G6" s="9" t="s">
        <v>278</v>
      </c>
      <c r="H6" s="9" t="s">
        <v>333</v>
      </c>
      <c r="I6" s="9" t="s">
        <v>279</v>
      </c>
      <c r="J6" s="10"/>
      <c r="K6" s="8" t="str">
        <f>"250,0"</f>
        <v>250,0</v>
      </c>
      <c r="L6" s="9" t="str">
        <f>"134,2750"</f>
        <v>134,2750</v>
      </c>
      <c r="M6" s="8" t="s">
        <v>292</v>
      </c>
    </row>
    <row r="7" spans="1:13" ht="12.75">
      <c r="A7" s="20" t="s">
        <v>286</v>
      </c>
      <c r="B7" s="20" t="s">
        <v>287</v>
      </c>
      <c r="C7" s="20" t="s">
        <v>288</v>
      </c>
      <c r="D7" s="20" t="str">
        <f>"0,5371"</f>
        <v>0,5371</v>
      </c>
      <c r="E7" s="20" t="s">
        <v>289</v>
      </c>
      <c r="F7" s="20" t="s">
        <v>290</v>
      </c>
      <c r="G7" s="21" t="s">
        <v>278</v>
      </c>
      <c r="H7" s="21" t="s">
        <v>333</v>
      </c>
      <c r="I7" s="21" t="s">
        <v>279</v>
      </c>
      <c r="J7" s="30"/>
      <c r="K7" s="20" t="str">
        <f>"250,0"</f>
        <v>250,0</v>
      </c>
      <c r="L7" s="21" t="str">
        <f>"206,1121"</f>
        <v>206,1121</v>
      </c>
      <c r="M7" s="20" t="s">
        <v>292</v>
      </c>
    </row>
    <row r="9" spans="1:12" ht="15">
      <c r="A9" s="44" t="s">
        <v>309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3" ht="12.75">
      <c r="A10" s="11" t="s">
        <v>334</v>
      </c>
      <c r="B10" s="11" t="s">
        <v>335</v>
      </c>
      <c r="C10" s="11" t="s">
        <v>336</v>
      </c>
      <c r="D10" s="11" t="str">
        <f>"0,5338"</f>
        <v>0,5338</v>
      </c>
      <c r="E10" s="11" t="s">
        <v>19</v>
      </c>
      <c r="F10" s="11" t="s">
        <v>46</v>
      </c>
      <c r="G10" s="12" t="s">
        <v>337</v>
      </c>
      <c r="H10" s="12" t="s">
        <v>280</v>
      </c>
      <c r="I10" s="12" t="s">
        <v>338</v>
      </c>
      <c r="J10" s="13"/>
      <c r="K10" s="11" t="str">
        <f>"270,0"</f>
        <v>270,0</v>
      </c>
      <c r="L10" s="12" t="str">
        <f>"184,6254"</f>
        <v>184,6254</v>
      </c>
      <c r="M10" s="11" t="s">
        <v>90</v>
      </c>
    </row>
    <row r="12" ht="15">
      <c r="E12" s="15" t="s">
        <v>76</v>
      </c>
    </row>
    <row r="13" ht="15">
      <c r="E13" s="15" t="s">
        <v>77</v>
      </c>
    </row>
    <row r="14" ht="15">
      <c r="E14" s="15" t="s">
        <v>78</v>
      </c>
    </row>
    <row r="15" ht="15">
      <c r="E15" s="15" t="s">
        <v>79</v>
      </c>
    </row>
    <row r="16" ht="15">
      <c r="E16" s="15" t="s">
        <v>79</v>
      </c>
    </row>
    <row r="17" ht="15">
      <c r="E17" s="15" t="s">
        <v>80</v>
      </c>
    </row>
    <row r="18" ht="15">
      <c r="E18" s="15"/>
    </row>
    <row r="20" spans="1:2" ht="18">
      <c r="A20" s="16" t="s">
        <v>37</v>
      </c>
      <c r="B20" s="16"/>
    </row>
    <row r="21" spans="1:2" ht="15">
      <c r="A21" s="23" t="s">
        <v>96</v>
      </c>
      <c r="B21" s="23"/>
    </row>
    <row r="22" spans="1:2" ht="14.25">
      <c r="A22" s="24"/>
      <c r="B22" s="25" t="s">
        <v>97</v>
      </c>
    </row>
    <row r="23" spans="1:5" ht="15">
      <c r="A23" s="26" t="s">
        <v>98</v>
      </c>
      <c r="B23" s="26" t="s">
        <v>99</v>
      </c>
      <c r="C23" s="26" t="s">
        <v>100</v>
      </c>
      <c r="D23" s="26" t="s">
        <v>101</v>
      </c>
      <c r="E23" s="26" t="s">
        <v>172</v>
      </c>
    </row>
    <row r="24" spans="1:5" ht="12.75">
      <c r="A24" s="27" t="s">
        <v>293</v>
      </c>
      <c r="B24" s="1" t="s">
        <v>97</v>
      </c>
      <c r="C24" s="1" t="s">
        <v>239</v>
      </c>
      <c r="D24" s="1" t="s">
        <v>279</v>
      </c>
      <c r="E24" s="28" t="s">
        <v>339</v>
      </c>
    </row>
    <row r="26" spans="1:2" ht="14.25">
      <c r="A26" s="24"/>
      <c r="B26" s="25" t="s">
        <v>107</v>
      </c>
    </row>
    <row r="27" spans="1:5" ht="15">
      <c r="A27" s="26" t="s">
        <v>98</v>
      </c>
      <c r="B27" s="26" t="s">
        <v>99</v>
      </c>
      <c r="C27" s="26" t="s">
        <v>100</v>
      </c>
      <c r="D27" s="26" t="s">
        <v>101</v>
      </c>
      <c r="E27" s="26" t="s">
        <v>172</v>
      </c>
    </row>
    <row r="28" spans="1:5" ht="12.75">
      <c r="A28" s="27" t="s">
        <v>293</v>
      </c>
      <c r="B28" s="1" t="s">
        <v>294</v>
      </c>
      <c r="C28" s="1" t="s">
        <v>239</v>
      </c>
      <c r="D28" s="1" t="s">
        <v>279</v>
      </c>
      <c r="E28" s="28" t="s">
        <v>340</v>
      </c>
    </row>
    <row r="29" spans="1:5" ht="12.75">
      <c r="A29" s="27" t="s">
        <v>341</v>
      </c>
      <c r="B29" s="1" t="s">
        <v>109</v>
      </c>
      <c r="C29" s="1" t="s">
        <v>322</v>
      </c>
      <c r="D29" s="1" t="s">
        <v>342</v>
      </c>
      <c r="E29" s="28" t="s">
        <v>343</v>
      </c>
    </row>
  </sheetData>
  <sheetProtection selectLockedCells="1" selectUnlockedCells="1"/>
  <mergeCells count="13">
    <mergeCell ref="M3:M4"/>
    <mergeCell ref="A5:L5"/>
    <mergeCell ref="A9:L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5">
      <selection activeCell="I20" sqref="I20"/>
    </sheetView>
  </sheetViews>
  <sheetFormatPr defaultColWidth="9.125" defaultRowHeight="12.75"/>
  <cols>
    <col min="1" max="1" width="26.00390625" style="1" customWidth="1"/>
    <col min="2" max="2" width="29.00390625" style="1" customWidth="1"/>
    <col min="3" max="3" width="10.625" style="1" customWidth="1"/>
    <col min="4" max="4" width="9.25390625" style="1" customWidth="1"/>
    <col min="5" max="5" width="24.00390625" style="1" customWidth="1"/>
    <col min="6" max="6" width="32.00390625" style="1" customWidth="1"/>
    <col min="7" max="9" width="6.875" style="3" customWidth="1"/>
    <col min="10" max="10" width="4.875" style="3" customWidth="1"/>
    <col min="11" max="11" width="7.875" style="1" customWidth="1"/>
    <col min="12" max="12" width="8.625" style="3" customWidth="1"/>
    <col min="13" max="13" width="14.875" style="1" customWidth="1"/>
    <col min="14" max="16384" width="9.125" style="3" customWidth="1"/>
  </cols>
  <sheetData>
    <row r="1" spans="1:13" s="5" customFormat="1" ht="28.5" customHeight="1">
      <c r="A1" s="42" t="s">
        <v>344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 t="s">
        <v>156</v>
      </c>
      <c r="E3" s="39" t="s">
        <v>4</v>
      </c>
      <c r="F3" s="39" t="s">
        <v>5</v>
      </c>
      <c r="G3" s="40" t="s">
        <v>331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5" spans="1:12" ht="15">
      <c r="A5" s="43" t="s">
        <v>260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1" t="s">
        <v>261</v>
      </c>
      <c r="B6" s="11" t="s">
        <v>262</v>
      </c>
      <c r="C6" s="11" t="s">
        <v>263</v>
      </c>
      <c r="D6" s="11" t="str">
        <f>"1,0107"</f>
        <v>1,0107</v>
      </c>
      <c r="E6" s="11" t="s">
        <v>19</v>
      </c>
      <c r="F6" s="11" t="s">
        <v>20</v>
      </c>
      <c r="G6" s="12" t="s">
        <v>345</v>
      </c>
      <c r="H6" s="12" t="s">
        <v>346</v>
      </c>
      <c r="I6" s="13" t="s">
        <v>347</v>
      </c>
      <c r="J6" s="13"/>
      <c r="K6" s="11" t="str">
        <f>"90,0"</f>
        <v>90,0</v>
      </c>
      <c r="L6" s="12" t="str">
        <f>"90,9585"</f>
        <v>90,9585</v>
      </c>
      <c r="M6" s="11" t="s">
        <v>266</v>
      </c>
    </row>
    <row r="8" spans="1:12" ht="15">
      <c r="A8" s="44" t="s">
        <v>180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ht="12.75">
      <c r="A9" s="11" t="s">
        <v>348</v>
      </c>
      <c r="B9" s="11" t="s">
        <v>349</v>
      </c>
      <c r="C9" s="11" t="s">
        <v>183</v>
      </c>
      <c r="D9" s="11" t="str">
        <f>"0,8670"</f>
        <v>0,8670</v>
      </c>
      <c r="E9" s="11" t="s">
        <v>19</v>
      </c>
      <c r="F9" s="11" t="s">
        <v>46</v>
      </c>
      <c r="G9" s="12" t="s">
        <v>350</v>
      </c>
      <c r="H9" s="12" t="s">
        <v>240</v>
      </c>
      <c r="I9" s="13" t="s">
        <v>351</v>
      </c>
      <c r="J9" s="13"/>
      <c r="K9" s="11" t="str">
        <f>"130,0"</f>
        <v>130,0</v>
      </c>
      <c r="L9" s="12" t="str">
        <f>"112,7100"</f>
        <v>112,7100</v>
      </c>
      <c r="M9" s="11" t="s">
        <v>90</v>
      </c>
    </row>
    <row r="11" spans="1:12" ht="15">
      <c r="A11" s="44" t="s">
        <v>159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3" ht="12.75">
      <c r="A12" s="8" t="s">
        <v>352</v>
      </c>
      <c r="B12" s="8" t="s">
        <v>353</v>
      </c>
      <c r="C12" s="8" t="s">
        <v>354</v>
      </c>
      <c r="D12" s="8" t="str">
        <f>"0,8110"</f>
        <v>0,8110</v>
      </c>
      <c r="E12" s="8" t="s">
        <v>19</v>
      </c>
      <c r="F12" s="8" t="s">
        <v>46</v>
      </c>
      <c r="G12" s="9" t="s">
        <v>240</v>
      </c>
      <c r="H12" s="9" t="s">
        <v>355</v>
      </c>
      <c r="I12" s="9" t="s">
        <v>356</v>
      </c>
      <c r="J12" s="10"/>
      <c r="K12" s="8" t="str">
        <f>"145,0"</f>
        <v>145,0</v>
      </c>
      <c r="L12" s="9" t="str">
        <f>"117,6022"</f>
        <v>117,6022</v>
      </c>
      <c r="M12" s="8" t="s">
        <v>90</v>
      </c>
    </row>
    <row r="13" spans="1:13" ht="12.75">
      <c r="A13" s="31" t="s">
        <v>357</v>
      </c>
      <c r="B13" s="31" t="s">
        <v>358</v>
      </c>
      <c r="C13" s="31" t="s">
        <v>359</v>
      </c>
      <c r="D13" s="31" t="str">
        <f>"0,8241"</f>
        <v>0,8241</v>
      </c>
      <c r="E13" s="31" t="s">
        <v>163</v>
      </c>
      <c r="F13" s="31" t="s">
        <v>360</v>
      </c>
      <c r="G13" s="32" t="s">
        <v>240</v>
      </c>
      <c r="H13" s="32" t="s">
        <v>361</v>
      </c>
      <c r="I13" s="32" t="s">
        <v>362</v>
      </c>
      <c r="J13" s="33"/>
      <c r="K13" s="31" t="str">
        <f>"142,5"</f>
        <v>142,5</v>
      </c>
      <c r="L13" s="32" t="str">
        <f>"117,4271"</f>
        <v>117,4271</v>
      </c>
      <c r="M13" s="31" t="s">
        <v>363</v>
      </c>
    </row>
    <row r="14" spans="1:13" ht="12.75">
      <c r="A14" s="20" t="s">
        <v>364</v>
      </c>
      <c r="B14" s="20" t="s">
        <v>365</v>
      </c>
      <c r="C14" s="20" t="s">
        <v>366</v>
      </c>
      <c r="D14" s="20" t="str">
        <f>"0,7882"</f>
        <v>0,7882</v>
      </c>
      <c r="E14" s="20" t="s">
        <v>19</v>
      </c>
      <c r="F14" s="20" t="s">
        <v>46</v>
      </c>
      <c r="G14" s="21" t="s">
        <v>367</v>
      </c>
      <c r="H14" s="21" t="s">
        <v>236</v>
      </c>
      <c r="I14" s="21" t="s">
        <v>350</v>
      </c>
      <c r="J14" s="30"/>
      <c r="K14" s="20" t="str">
        <f>"125,0"</f>
        <v>125,0</v>
      </c>
      <c r="L14" s="21" t="str">
        <f>"98,5250"</f>
        <v>98,5250</v>
      </c>
      <c r="M14" s="20" t="s">
        <v>205</v>
      </c>
    </row>
    <row r="16" spans="1:12" ht="15">
      <c r="A16" s="44" t="s">
        <v>368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3" ht="12.75">
      <c r="A17" s="11" t="s">
        <v>369</v>
      </c>
      <c r="B17" s="11" t="s">
        <v>370</v>
      </c>
      <c r="C17" s="11" t="s">
        <v>371</v>
      </c>
      <c r="D17" s="11" t="str">
        <f>"0,6586"</f>
        <v>0,6586</v>
      </c>
      <c r="E17" s="11" t="s">
        <v>19</v>
      </c>
      <c r="F17" s="11" t="s">
        <v>46</v>
      </c>
      <c r="G17" s="12" t="s">
        <v>350</v>
      </c>
      <c r="H17" s="12" t="s">
        <v>237</v>
      </c>
      <c r="I17" s="13" t="s">
        <v>175</v>
      </c>
      <c r="J17" s="13"/>
      <c r="K17" s="11" t="str">
        <f>"130,0"</f>
        <v>130,0</v>
      </c>
      <c r="L17" s="12" t="str">
        <f>"85,6180"</f>
        <v>85,6180</v>
      </c>
      <c r="M17" s="11" t="s">
        <v>372</v>
      </c>
    </row>
    <row r="19" spans="1:12" ht="15">
      <c r="A19" s="44" t="s">
        <v>193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3" ht="12.75">
      <c r="A20" s="8" t="s">
        <v>16</v>
      </c>
      <c r="B20" s="8" t="s">
        <v>17</v>
      </c>
      <c r="C20" s="8" t="s">
        <v>18</v>
      </c>
      <c r="D20" s="8" t="str">
        <f>"0,6224"</f>
        <v>0,6224</v>
      </c>
      <c r="E20" s="8" t="s">
        <v>19</v>
      </c>
      <c r="F20" s="8" t="s">
        <v>20</v>
      </c>
      <c r="G20" s="9" t="s">
        <v>314</v>
      </c>
      <c r="H20" s="9" t="s">
        <v>373</v>
      </c>
      <c r="I20" s="10" t="s">
        <v>25</v>
      </c>
      <c r="J20" s="10"/>
      <c r="K20" s="8" t="str">
        <f>"210,0"</f>
        <v>210,0</v>
      </c>
      <c r="L20" s="9" t="str">
        <f>"138,5462"</f>
        <v>138,5462</v>
      </c>
      <c r="M20" s="8" t="s">
        <v>90</v>
      </c>
    </row>
    <row r="21" spans="1:13" ht="12.75">
      <c r="A21" s="31" t="s">
        <v>374</v>
      </c>
      <c r="B21" s="31" t="s">
        <v>375</v>
      </c>
      <c r="C21" s="31" t="s">
        <v>376</v>
      </c>
      <c r="D21" s="31" t="str">
        <f>"0,6193"</f>
        <v>0,6193</v>
      </c>
      <c r="E21" s="31" t="s">
        <v>19</v>
      </c>
      <c r="F21" s="31" t="s">
        <v>46</v>
      </c>
      <c r="G21" s="32" t="s">
        <v>377</v>
      </c>
      <c r="H21" s="32" t="s">
        <v>378</v>
      </c>
      <c r="I21" s="32" t="s">
        <v>379</v>
      </c>
      <c r="J21" s="33"/>
      <c r="K21" s="31" t="str">
        <f>"237,5"</f>
        <v>237,5</v>
      </c>
      <c r="L21" s="32" t="str">
        <f>"150,0254"</f>
        <v>150,0254</v>
      </c>
      <c r="M21" s="31" t="s">
        <v>90</v>
      </c>
    </row>
    <row r="22" spans="1:13" ht="12.75">
      <c r="A22" s="31" t="s">
        <v>380</v>
      </c>
      <c r="B22" s="31" t="s">
        <v>381</v>
      </c>
      <c r="C22" s="31" t="s">
        <v>382</v>
      </c>
      <c r="D22" s="31" t="str">
        <f>"0,6341"</f>
        <v>0,6341</v>
      </c>
      <c r="E22" s="31" t="s">
        <v>383</v>
      </c>
      <c r="F22" s="31" t="s">
        <v>384</v>
      </c>
      <c r="G22" s="32" t="s">
        <v>282</v>
      </c>
      <c r="H22" s="32" t="s">
        <v>385</v>
      </c>
      <c r="I22" s="32" t="s">
        <v>386</v>
      </c>
      <c r="J22" s="33"/>
      <c r="K22" s="31" t="str">
        <f>"288,0"</f>
        <v>288,0</v>
      </c>
      <c r="L22" s="32" t="str">
        <f>"182,6208"</f>
        <v>182,6208</v>
      </c>
      <c r="M22" s="31" t="s">
        <v>90</v>
      </c>
    </row>
    <row r="23" spans="1:13" ht="12.75">
      <c r="A23" s="20" t="s">
        <v>387</v>
      </c>
      <c r="B23" s="20" t="s">
        <v>388</v>
      </c>
      <c r="C23" s="20" t="s">
        <v>389</v>
      </c>
      <c r="D23" s="20" t="str">
        <f>"0,6279"</f>
        <v>0,6279</v>
      </c>
      <c r="E23" s="20" t="s">
        <v>163</v>
      </c>
      <c r="F23" s="20" t="s">
        <v>390</v>
      </c>
      <c r="G23" s="21" t="s">
        <v>314</v>
      </c>
      <c r="H23" s="21" t="s">
        <v>373</v>
      </c>
      <c r="I23" s="21" t="s">
        <v>391</v>
      </c>
      <c r="J23" s="30"/>
      <c r="K23" s="20" t="str">
        <f>"217,5"</f>
        <v>217,5</v>
      </c>
      <c r="L23" s="21" t="str">
        <f>"136,5683"</f>
        <v>136,5683</v>
      </c>
      <c r="M23" s="20" t="s">
        <v>90</v>
      </c>
    </row>
    <row r="25" spans="1:12" ht="15">
      <c r="A25" s="44" t="s">
        <v>368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3" ht="12.75">
      <c r="A26" s="8" t="s">
        <v>392</v>
      </c>
      <c r="B26" s="8" t="s">
        <v>393</v>
      </c>
      <c r="C26" s="8" t="s">
        <v>138</v>
      </c>
      <c r="D26" s="8" t="str">
        <f>"0,5889"</f>
        <v>0,5889</v>
      </c>
      <c r="E26" s="8" t="s">
        <v>19</v>
      </c>
      <c r="F26" s="8" t="s">
        <v>394</v>
      </c>
      <c r="G26" s="9" t="s">
        <v>395</v>
      </c>
      <c r="H26" s="9" t="s">
        <v>396</v>
      </c>
      <c r="I26" s="10" t="s">
        <v>279</v>
      </c>
      <c r="J26" s="10"/>
      <c r="K26" s="8" t="str">
        <f>"245,0"</f>
        <v>245,0</v>
      </c>
      <c r="L26" s="9" t="str">
        <f>"144,2805"</f>
        <v>144,2805</v>
      </c>
      <c r="M26" s="8" t="s">
        <v>90</v>
      </c>
    </row>
    <row r="27" spans="1:13" ht="12.75">
      <c r="A27" s="20" t="s">
        <v>397</v>
      </c>
      <c r="B27" s="20" t="s">
        <v>398</v>
      </c>
      <c r="C27" s="20" t="s">
        <v>371</v>
      </c>
      <c r="D27" s="20" t="str">
        <f>"0,6069"</f>
        <v>0,6069</v>
      </c>
      <c r="E27" s="20" t="s">
        <v>19</v>
      </c>
      <c r="F27" s="20" t="s">
        <v>46</v>
      </c>
      <c r="G27" s="21" t="s">
        <v>240</v>
      </c>
      <c r="H27" s="21" t="s">
        <v>399</v>
      </c>
      <c r="I27" s="21" t="s">
        <v>400</v>
      </c>
      <c r="J27" s="30"/>
      <c r="K27" s="20" t="str">
        <f>"147,5"</f>
        <v>147,5</v>
      </c>
      <c r="L27" s="21" t="str">
        <f>"89,5177"</f>
        <v>89,5177</v>
      </c>
      <c r="M27" s="20" t="s">
        <v>90</v>
      </c>
    </row>
    <row r="29" spans="1:12" ht="15">
      <c r="A29" s="44" t="s">
        <v>206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3" ht="12.75">
      <c r="A30" s="8" t="s">
        <v>207</v>
      </c>
      <c r="B30" s="8" t="s">
        <v>208</v>
      </c>
      <c r="C30" s="8" t="s">
        <v>209</v>
      </c>
      <c r="D30" s="8" t="str">
        <f>"0,5563"</f>
        <v>0,5563</v>
      </c>
      <c r="E30" s="8" t="s">
        <v>19</v>
      </c>
      <c r="F30" s="8" t="s">
        <v>46</v>
      </c>
      <c r="G30" s="9" t="s">
        <v>279</v>
      </c>
      <c r="H30" s="9" t="s">
        <v>282</v>
      </c>
      <c r="I30" s="9" t="s">
        <v>342</v>
      </c>
      <c r="J30" s="10"/>
      <c r="K30" s="8" t="str">
        <f>"270,0"</f>
        <v>270,0</v>
      </c>
      <c r="L30" s="9" t="str">
        <f>"150,2010"</f>
        <v>150,2010</v>
      </c>
      <c r="M30" s="8" t="s">
        <v>90</v>
      </c>
    </row>
    <row r="31" spans="1:13" ht="12.75">
      <c r="A31" s="20" t="s">
        <v>401</v>
      </c>
      <c r="B31" s="20" t="s">
        <v>402</v>
      </c>
      <c r="C31" s="20" t="s">
        <v>403</v>
      </c>
      <c r="D31" s="20" t="str">
        <f>"0,5648"</f>
        <v>0,5648</v>
      </c>
      <c r="E31" s="20" t="s">
        <v>19</v>
      </c>
      <c r="F31" s="20" t="s">
        <v>46</v>
      </c>
      <c r="G31" s="21" t="s">
        <v>404</v>
      </c>
      <c r="H31" s="21" t="s">
        <v>315</v>
      </c>
      <c r="I31" s="21" t="s">
        <v>25</v>
      </c>
      <c r="J31" s="30"/>
      <c r="K31" s="20" t="str">
        <f>"217,5"</f>
        <v>217,5</v>
      </c>
      <c r="L31" s="21" t="str">
        <f>"122,8440"</f>
        <v>122,8440</v>
      </c>
      <c r="M31" s="20" t="s">
        <v>90</v>
      </c>
    </row>
    <row r="33" spans="1:12" ht="15">
      <c r="A33" s="44" t="s">
        <v>309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3" ht="12.75">
      <c r="A34" s="11" t="s">
        <v>27</v>
      </c>
      <c r="B34" s="11" t="s">
        <v>28</v>
      </c>
      <c r="C34" s="11" t="s">
        <v>29</v>
      </c>
      <c r="D34" s="11" t="str">
        <f>"0,5214"</f>
        <v>0,5214</v>
      </c>
      <c r="E34" s="11" t="s">
        <v>19</v>
      </c>
      <c r="F34" s="11" t="s">
        <v>20</v>
      </c>
      <c r="G34" s="12" t="s">
        <v>405</v>
      </c>
      <c r="H34" s="12" t="s">
        <v>406</v>
      </c>
      <c r="I34" s="13" t="s">
        <v>32</v>
      </c>
      <c r="J34" s="13"/>
      <c r="K34" s="11" t="str">
        <f>"285,0"</f>
        <v>285,0</v>
      </c>
      <c r="L34" s="12" t="str">
        <f>"148,5990"</f>
        <v>148,5990</v>
      </c>
      <c r="M34" s="11" t="s">
        <v>90</v>
      </c>
    </row>
    <row r="36" ht="15">
      <c r="E36" s="15" t="s">
        <v>76</v>
      </c>
    </row>
    <row r="37" ht="15">
      <c r="E37" s="15" t="s">
        <v>77</v>
      </c>
    </row>
    <row r="38" ht="15">
      <c r="E38" s="15" t="s">
        <v>78</v>
      </c>
    </row>
    <row r="39" ht="15">
      <c r="E39" s="15" t="s">
        <v>79</v>
      </c>
    </row>
    <row r="40" ht="15">
      <c r="E40" s="15" t="s">
        <v>79</v>
      </c>
    </row>
    <row r="41" ht="15">
      <c r="E41" s="15" t="s">
        <v>80</v>
      </c>
    </row>
    <row r="42" ht="15">
      <c r="E42" s="15"/>
    </row>
    <row r="44" spans="1:2" ht="18">
      <c r="A44" s="16" t="s">
        <v>37</v>
      </c>
      <c r="B44" s="16"/>
    </row>
    <row r="45" spans="1:2" ht="15">
      <c r="A45" s="23" t="s">
        <v>150</v>
      </c>
      <c r="B45" s="23"/>
    </row>
    <row r="46" spans="1:2" ht="14.25">
      <c r="A46" s="24"/>
      <c r="B46" s="25" t="s">
        <v>267</v>
      </c>
    </row>
    <row r="47" spans="1:5" ht="15">
      <c r="A47" s="26" t="s">
        <v>98</v>
      </c>
      <c r="B47" s="26" t="s">
        <v>99</v>
      </c>
      <c r="C47" s="26" t="s">
        <v>100</v>
      </c>
      <c r="D47" s="26" t="s">
        <v>101</v>
      </c>
      <c r="E47" s="26" t="s">
        <v>172</v>
      </c>
    </row>
    <row r="48" spans="1:5" ht="12.75">
      <c r="A48" s="27" t="s">
        <v>268</v>
      </c>
      <c r="B48" s="1" t="s">
        <v>221</v>
      </c>
      <c r="C48" s="1" t="s">
        <v>45</v>
      </c>
      <c r="D48" s="1" t="s">
        <v>407</v>
      </c>
      <c r="E48" s="28" t="s">
        <v>408</v>
      </c>
    </row>
    <row r="50" spans="1:2" ht="14.25">
      <c r="A50" s="24"/>
      <c r="B50" s="25" t="s">
        <v>97</v>
      </c>
    </row>
    <row r="51" spans="1:5" ht="15">
      <c r="A51" s="26" t="s">
        <v>98</v>
      </c>
      <c r="B51" s="26" t="s">
        <v>99</v>
      </c>
      <c r="C51" s="26" t="s">
        <v>100</v>
      </c>
      <c r="D51" s="26" t="s">
        <v>101</v>
      </c>
      <c r="E51" s="26" t="s">
        <v>172</v>
      </c>
    </row>
    <row r="52" spans="1:5" ht="12.75">
      <c r="A52" s="27" t="s">
        <v>409</v>
      </c>
      <c r="B52" s="1" t="s">
        <v>97</v>
      </c>
      <c r="C52" s="1" t="s">
        <v>174</v>
      </c>
      <c r="D52" s="1" t="s">
        <v>410</v>
      </c>
      <c r="E52" s="28" t="s">
        <v>411</v>
      </c>
    </row>
    <row r="53" spans="1:5" ht="12.75">
      <c r="A53" s="27" t="s">
        <v>412</v>
      </c>
      <c r="B53" s="1" t="s">
        <v>97</v>
      </c>
      <c r="C53" s="1" t="s">
        <v>174</v>
      </c>
      <c r="D53" s="1" t="s">
        <v>291</v>
      </c>
      <c r="E53" s="28" t="s">
        <v>413</v>
      </c>
    </row>
    <row r="54" spans="1:5" ht="12.75">
      <c r="A54" s="27" t="s">
        <v>414</v>
      </c>
      <c r="B54" s="1" t="s">
        <v>97</v>
      </c>
      <c r="C54" s="1" t="s">
        <v>222</v>
      </c>
      <c r="D54" s="1" t="s">
        <v>240</v>
      </c>
      <c r="E54" s="28" t="s">
        <v>415</v>
      </c>
    </row>
    <row r="55" spans="1:5" ht="12.75">
      <c r="A55" s="27" t="s">
        <v>416</v>
      </c>
      <c r="B55" s="1" t="s">
        <v>97</v>
      </c>
      <c r="C55" s="1" t="s">
        <v>174</v>
      </c>
      <c r="D55" s="1" t="s">
        <v>350</v>
      </c>
      <c r="E55" s="28" t="s">
        <v>417</v>
      </c>
    </row>
    <row r="57" spans="1:2" ht="14.25">
      <c r="A57" s="24"/>
      <c r="B57" s="25" t="s">
        <v>107</v>
      </c>
    </row>
    <row r="58" spans="1:5" ht="15">
      <c r="A58" s="26" t="s">
        <v>98</v>
      </c>
      <c r="B58" s="26" t="s">
        <v>99</v>
      </c>
      <c r="C58" s="26" t="s">
        <v>100</v>
      </c>
      <c r="D58" s="26" t="s">
        <v>101</v>
      </c>
      <c r="E58" s="26" t="s">
        <v>172</v>
      </c>
    </row>
    <row r="59" spans="1:5" ht="12.75">
      <c r="A59" s="27" t="s">
        <v>418</v>
      </c>
      <c r="B59" s="1" t="s">
        <v>142</v>
      </c>
      <c r="C59" s="1" t="s">
        <v>73</v>
      </c>
      <c r="D59" s="1" t="s">
        <v>240</v>
      </c>
      <c r="E59" s="28" t="s">
        <v>419</v>
      </c>
    </row>
    <row r="62" spans="1:2" ht="15">
      <c r="A62" s="23" t="s">
        <v>96</v>
      </c>
      <c r="B62" s="23"/>
    </row>
    <row r="63" spans="1:2" ht="14.25">
      <c r="A63" s="24"/>
      <c r="B63" s="25" t="s">
        <v>213</v>
      </c>
    </row>
    <row r="64" spans="1:5" ht="15">
      <c r="A64" s="26" t="s">
        <v>98</v>
      </c>
      <c r="B64" s="26" t="s">
        <v>99</v>
      </c>
      <c r="C64" s="26" t="s">
        <v>100</v>
      </c>
      <c r="D64" s="26" t="s">
        <v>101</v>
      </c>
      <c r="E64" s="26" t="s">
        <v>172</v>
      </c>
    </row>
    <row r="65" spans="1:5" ht="12.75">
      <c r="A65" s="27" t="s">
        <v>420</v>
      </c>
      <c r="B65" s="1" t="s">
        <v>214</v>
      </c>
      <c r="C65" s="1" t="s">
        <v>215</v>
      </c>
      <c r="D65" s="1" t="s">
        <v>24</v>
      </c>
      <c r="E65" s="28" t="s">
        <v>421</v>
      </c>
    </row>
    <row r="67" spans="1:2" ht="14.25">
      <c r="A67" s="24"/>
      <c r="B67" s="25" t="s">
        <v>219</v>
      </c>
    </row>
    <row r="68" spans="1:5" ht="15">
      <c r="A68" s="26" t="s">
        <v>98</v>
      </c>
      <c r="B68" s="26" t="s">
        <v>99</v>
      </c>
      <c r="C68" s="26" t="s">
        <v>100</v>
      </c>
      <c r="D68" s="26" t="s">
        <v>101</v>
      </c>
      <c r="E68" s="26" t="s">
        <v>172</v>
      </c>
    </row>
    <row r="69" spans="1:5" ht="12.75">
      <c r="A69" s="27" t="s">
        <v>422</v>
      </c>
      <c r="B69" s="1" t="s">
        <v>221</v>
      </c>
      <c r="C69" s="1" t="s">
        <v>215</v>
      </c>
      <c r="D69" s="1" t="s">
        <v>423</v>
      </c>
      <c r="E69" s="28" t="s">
        <v>424</v>
      </c>
    </row>
    <row r="71" spans="1:2" ht="14.25">
      <c r="A71" s="24"/>
      <c r="B71" s="25" t="s">
        <v>97</v>
      </c>
    </row>
    <row r="72" spans="1:5" ht="15">
      <c r="A72" s="26" t="s">
        <v>98</v>
      </c>
      <c r="B72" s="26" t="s">
        <v>99</v>
      </c>
      <c r="C72" s="26" t="s">
        <v>100</v>
      </c>
      <c r="D72" s="26" t="s">
        <v>101</v>
      </c>
      <c r="E72" s="26" t="s">
        <v>172</v>
      </c>
    </row>
    <row r="73" spans="1:5" ht="12.75">
      <c r="A73" s="27" t="s">
        <v>425</v>
      </c>
      <c r="B73" s="1" t="s">
        <v>97</v>
      </c>
      <c r="C73" s="1" t="s">
        <v>215</v>
      </c>
      <c r="D73" s="1" t="s">
        <v>386</v>
      </c>
      <c r="E73" s="28" t="s">
        <v>426</v>
      </c>
    </row>
    <row r="74" spans="1:5" ht="12.75">
      <c r="A74" s="27" t="s">
        <v>224</v>
      </c>
      <c r="B74" s="1" t="s">
        <v>97</v>
      </c>
      <c r="C74" s="1" t="s">
        <v>57</v>
      </c>
      <c r="D74" s="1" t="s">
        <v>342</v>
      </c>
      <c r="E74" s="28" t="s">
        <v>427</v>
      </c>
    </row>
    <row r="75" spans="1:5" ht="12.75">
      <c r="A75" s="27" t="s">
        <v>428</v>
      </c>
      <c r="B75" s="1" t="s">
        <v>97</v>
      </c>
      <c r="C75" s="1" t="s">
        <v>322</v>
      </c>
      <c r="D75" s="1" t="s">
        <v>31</v>
      </c>
      <c r="E75" s="28" t="s">
        <v>429</v>
      </c>
    </row>
    <row r="76" spans="1:5" ht="12.75">
      <c r="A76" s="27" t="s">
        <v>430</v>
      </c>
      <c r="B76" s="1" t="s">
        <v>97</v>
      </c>
      <c r="C76" s="1" t="s">
        <v>73</v>
      </c>
      <c r="D76" s="1" t="s">
        <v>396</v>
      </c>
      <c r="E76" s="28" t="s">
        <v>431</v>
      </c>
    </row>
    <row r="77" spans="1:5" ht="12.75">
      <c r="A77" s="27" t="s">
        <v>432</v>
      </c>
      <c r="B77" s="1" t="s">
        <v>97</v>
      </c>
      <c r="C77" s="1" t="s">
        <v>215</v>
      </c>
      <c r="D77" s="1" t="s">
        <v>25</v>
      </c>
      <c r="E77" s="28" t="s">
        <v>433</v>
      </c>
    </row>
    <row r="78" spans="1:5" ht="12.75">
      <c r="A78" s="27" t="s">
        <v>434</v>
      </c>
      <c r="B78" s="1" t="s">
        <v>97</v>
      </c>
      <c r="C78" s="1" t="s">
        <v>57</v>
      </c>
      <c r="D78" s="1" t="s">
        <v>25</v>
      </c>
      <c r="E78" s="28" t="s">
        <v>435</v>
      </c>
    </row>
    <row r="79" spans="1:5" ht="12.75">
      <c r="A79" s="27" t="s">
        <v>436</v>
      </c>
      <c r="B79" s="1" t="s">
        <v>97</v>
      </c>
      <c r="C79" s="1" t="s">
        <v>73</v>
      </c>
      <c r="D79" s="1" t="s">
        <v>400</v>
      </c>
      <c r="E79" s="28" t="s">
        <v>437</v>
      </c>
    </row>
  </sheetData>
  <sheetProtection selectLockedCells="1" selectUnlockedCells="1"/>
  <mergeCells count="19">
    <mergeCell ref="A25:L25"/>
    <mergeCell ref="A29:L29"/>
    <mergeCell ref="A33:L33"/>
    <mergeCell ref="M3:M4"/>
    <mergeCell ref="A5:L5"/>
    <mergeCell ref="A8:L8"/>
    <mergeCell ref="A11:L11"/>
    <mergeCell ref="A16:L16"/>
    <mergeCell ref="A19:L1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2" t="s">
        <v>438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8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2" t="s">
        <v>439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8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K9" sqref="K9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3.00390625" style="1" customWidth="1"/>
    <col min="7" max="7" width="5.625" style="3" customWidth="1"/>
    <col min="8" max="8" width="7.00390625" style="17" customWidth="1"/>
    <col min="9" max="9" width="7.875" style="1" customWidth="1"/>
    <col min="10" max="10" width="6.37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2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50</v>
      </c>
      <c r="H3" s="40"/>
      <c r="I3" s="39" t="s">
        <v>40</v>
      </c>
      <c r="J3" s="39" t="s">
        <v>51</v>
      </c>
      <c r="K3" s="41" t="s">
        <v>11</v>
      </c>
    </row>
    <row r="4" spans="1:11" s="6" customFormat="1" ht="21" customHeight="1">
      <c r="A4" s="36"/>
      <c r="B4" s="37"/>
      <c r="C4" s="37"/>
      <c r="D4" s="37"/>
      <c r="E4" s="37"/>
      <c r="F4" s="37"/>
      <c r="G4" s="7" t="s">
        <v>41</v>
      </c>
      <c r="H4" s="18" t="s">
        <v>42</v>
      </c>
      <c r="I4" s="39"/>
      <c r="J4" s="39"/>
      <c r="K4" s="41"/>
    </row>
    <row r="5" spans="1:11" ht="15">
      <c r="A5" s="1" t="s">
        <v>52</v>
      </c>
      <c r="B5" s="1" t="s">
        <v>53</v>
      </c>
      <c r="C5" s="1" t="s">
        <v>54</v>
      </c>
      <c r="E5" s="15" t="s">
        <v>55</v>
      </c>
      <c r="F5" s="1" t="s">
        <v>56</v>
      </c>
      <c r="G5" s="3" t="s">
        <v>57</v>
      </c>
      <c r="H5" s="17">
        <v>34</v>
      </c>
      <c r="I5" s="1" t="s">
        <v>58</v>
      </c>
      <c r="J5" s="3" t="s">
        <v>59</v>
      </c>
      <c r="K5" s="1" t="s">
        <v>60</v>
      </c>
    </row>
    <row r="6" spans="1:11" ht="15">
      <c r="A6" s="1" t="s">
        <v>61</v>
      </c>
      <c r="B6" s="1" t="s">
        <v>62</v>
      </c>
      <c r="C6" s="1" t="s">
        <v>63</v>
      </c>
      <c r="E6" s="15" t="s">
        <v>55</v>
      </c>
      <c r="F6" s="1" t="s">
        <v>56</v>
      </c>
      <c r="G6" s="3" t="s">
        <v>57</v>
      </c>
      <c r="H6" s="17">
        <v>26</v>
      </c>
      <c r="I6" s="1" t="s">
        <v>64</v>
      </c>
      <c r="J6" s="3" t="s">
        <v>65</v>
      </c>
      <c r="K6" s="1" t="s">
        <v>60</v>
      </c>
    </row>
    <row r="7" spans="1:10" ht="15">
      <c r="A7" s="1" t="s">
        <v>66</v>
      </c>
      <c r="B7" s="1" t="s">
        <v>67</v>
      </c>
      <c r="C7" s="1" t="s">
        <v>68</v>
      </c>
      <c r="E7" s="15"/>
      <c r="F7" s="1" t="s">
        <v>69</v>
      </c>
      <c r="G7" s="3" t="s">
        <v>57</v>
      </c>
      <c r="H7" s="17">
        <v>101</v>
      </c>
      <c r="I7" s="1" t="s">
        <v>70</v>
      </c>
      <c r="J7" s="3" t="s">
        <v>59</v>
      </c>
    </row>
    <row r="8" spans="1:11" ht="15">
      <c r="A8" s="1" t="s">
        <v>71</v>
      </c>
      <c r="B8" s="1" t="s">
        <v>72</v>
      </c>
      <c r="C8" s="1" t="s">
        <v>73</v>
      </c>
      <c r="E8" s="15" t="s">
        <v>55</v>
      </c>
      <c r="F8" s="1" t="s">
        <v>56</v>
      </c>
      <c r="G8" s="3" t="s">
        <v>57</v>
      </c>
      <c r="H8" s="17">
        <v>35</v>
      </c>
      <c r="I8" s="1" t="s">
        <v>74</v>
      </c>
      <c r="J8" s="3" t="s">
        <v>65</v>
      </c>
      <c r="K8" s="1" t="s">
        <v>60</v>
      </c>
    </row>
    <row r="9" ht="15">
      <c r="E9" s="15"/>
    </row>
    <row r="10" ht="15">
      <c r="E10" s="15"/>
    </row>
    <row r="11" ht="15">
      <c r="E11" s="15"/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2" t="s">
        <v>440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8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2" t="s">
        <v>441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8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G6" sqref="G6"/>
    </sheetView>
  </sheetViews>
  <sheetFormatPr defaultColWidth="9.125" defaultRowHeight="12.75"/>
  <cols>
    <col min="1" max="1" width="26.00390625" style="1" customWidth="1"/>
    <col min="2" max="2" width="28.625" style="1" customWidth="1"/>
    <col min="3" max="3" width="10.625" style="1" customWidth="1"/>
    <col min="4" max="4" width="9.25390625" style="1" customWidth="1"/>
    <col min="5" max="5" width="22.75390625" style="1" customWidth="1"/>
    <col min="6" max="6" width="17.25390625" style="1" customWidth="1"/>
    <col min="7" max="7" width="6.875" style="3" customWidth="1"/>
    <col min="8" max="8" width="5.625" style="3" customWidth="1"/>
    <col min="9" max="9" width="6.875" style="3" customWidth="1"/>
    <col min="10" max="10" width="4.875" style="3" customWidth="1"/>
    <col min="11" max="11" width="7.875" style="1" customWidth="1"/>
    <col min="12" max="12" width="8.625" style="3" customWidth="1"/>
    <col min="13" max="13" width="15.375" style="1" customWidth="1"/>
    <col min="14" max="16384" width="9.125" style="3" customWidth="1"/>
  </cols>
  <sheetData>
    <row r="1" spans="1:13" s="5" customFormat="1" ht="28.5" customHeight="1">
      <c r="A1" s="42" t="s">
        <v>442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 t="s">
        <v>156</v>
      </c>
      <c r="E3" s="39" t="s">
        <v>4</v>
      </c>
      <c r="F3" s="39" t="s">
        <v>5</v>
      </c>
      <c r="G3" s="40" t="s">
        <v>443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5" spans="1:12" ht="15">
      <c r="A5" s="43" t="s">
        <v>189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1" t="s">
        <v>444</v>
      </c>
      <c r="B6" s="11" t="s">
        <v>445</v>
      </c>
      <c r="C6" s="11" t="s">
        <v>446</v>
      </c>
      <c r="D6" s="11" t="str">
        <f>"0,6843"</f>
        <v>0,6843</v>
      </c>
      <c r="E6" s="11" t="s">
        <v>163</v>
      </c>
      <c r="F6" s="11" t="s">
        <v>447</v>
      </c>
      <c r="G6" s="12" t="s">
        <v>448</v>
      </c>
      <c r="H6" s="12" t="s">
        <v>449</v>
      </c>
      <c r="I6" s="12" t="s">
        <v>450</v>
      </c>
      <c r="J6" s="13"/>
      <c r="K6" s="11" t="str">
        <f>"185,0"</f>
        <v>185,0</v>
      </c>
      <c r="L6" s="12" t="str">
        <f>"201,2868"</f>
        <v>201,2868</v>
      </c>
      <c r="M6" s="11" t="s">
        <v>451</v>
      </c>
    </row>
    <row r="8" ht="15">
      <c r="E8" s="15" t="s">
        <v>76</v>
      </c>
    </row>
    <row r="9" ht="15">
      <c r="E9" s="15" t="s">
        <v>77</v>
      </c>
    </row>
    <row r="10" ht="15">
      <c r="E10" s="15" t="s">
        <v>78</v>
      </c>
    </row>
    <row r="11" ht="15">
      <c r="E11" s="15" t="s">
        <v>79</v>
      </c>
    </row>
    <row r="12" ht="15">
      <c r="E12" s="15" t="s">
        <v>79</v>
      </c>
    </row>
    <row r="13" ht="15">
      <c r="E13" s="15" t="s">
        <v>80</v>
      </c>
    </row>
    <row r="14" ht="15">
      <c r="E14" s="15"/>
    </row>
    <row r="16" spans="1:2" ht="18">
      <c r="A16" s="16" t="s">
        <v>37</v>
      </c>
      <c r="B16" s="16"/>
    </row>
    <row r="17" spans="1:2" ht="15">
      <c r="A17" s="23" t="s">
        <v>96</v>
      </c>
      <c r="B17" s="23"/>
    </row>
    <row r="18" spans="1:2" ht="14.25">
      <c r="A18" s="24"/>
      <c r="B18" s="25" t="s">
        <v>107</v>
      </c>
    </row>
    <row r="19" spans="1:5" ht="15">
      <c r="A19" s="26" t="s">
        <v>98</v>
      </c>
      <c r="B19" s="26" t="s">
        <v>99</v>
      </c>
      <c r="C19" s="26" t="s">
        <v>100</v>
      </c>
      <c r="D19" s="26" t="s">
        <v>101</v>
      </c>
      <c r="E19" s="26" t="s">
        <v>172</v>
      </c>
    </row>
    <row r="20" spans="1:5" ht="12.75">
      <c r="A20" s="27" t="s">
        <v>452</v>
      </c>
      <c r="B20" s="1" t="s">
        <v>294</v>
      </c>
      <c r="C20" s="1" t="s">
        <v>217</v>
      </c>
      <c r="D20" s="1" t="s">
        <v>404</v>
      </c>
      <c r="E20" s="28" t="s">
        <v>453</v>
      </c>
    </row>
  </sheetData>
  <sheetProtection selectLockedCells="1" selectUnlockedCells="1"/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2" t="s">
        <v>454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7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8.625" style="1" customWidth="1"/>
    <col min="3" max="3" width="10.625" style="1" customWidth="1"/>
    <col min="4" max="4" width="9.25390625" style="1" customWidth="1"/>
    <col min="5" max="5" width="22.75390625" style="1" customWidth="1"/>
    <col min="6" max="6" width="24.375" style="1" customWidth="1"/>
    <col min="7" max="9" width="5.625" style="3" customWidth="1"/>
    <col min="10" max="10" width="4.875" style="3" customWidth="1"/>
    <col min="11" max="11" width="7.875" style="1" customWidth="1"/>
    <col min="12" max="12" width="8.62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2" t="s">
        <v>455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 t="s">
        <v>156</v>
      </c>
      <c r="E3" s="39" t="s">
        <v>4</v>
      </c>
      <c r="F3" s="39" t="s">
        <v>5</v>
      </c>
      <c r="G3" s="40" t="s">
        <v>443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5" spans="1:12" ht="15">
      <c r="A5" s="43" t="s">
        <v>368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8" t="s">
        <v>456</v>
      </c>
      <c r="B6" s="8" t="s">
        <v>457</v>
      </c>
      <c r="C6" s="8" t="s">
        <v>458</v>
      </c>
      <c r="D6" s="8" t="str">
        <f>"0,5873"</f>
        <v>0,5873</v>
      </c>
      <c r="E6" s="8" t="s">
        <v>19</v>
      </c>
      <c r="F6" s="8" t="s">
        <v>459</v>
      </c>
      <c r="G6" s="9" t="s">
        <v>24</v>
      </c>
      <c r="H6" s="9" t="s">
        <v>278</v>
      </c>
      <c r="I6" s="10" t="s">
        <v>395</v>
      </c>
      <c r="J6" s="10"/>
      <c r="K6" s="8" t="str">
        <f>"230,0"</f>
        <v>230,0</v>
      </c>
      <c r="L6" s="9" t="str">
        <f>"135,0790"</f>
        <v>135,0790</v>
      </c>
      <c r="M6" s="8" t="s">
        <v>90</v>
      </c>
    </row>
    <row r="7" spans="1:13" ht="12.75">
      <c r="A7" s="20" t="s">
        <v>456</v>
      </c>
      <c r="B7" s="20" t="s">
        <v>460</v>
      </c>
      <c r="C7" s="20" t="s">
        <v>458</v>
      </c>
      <c r="D7" s="20" t="str">
        <f>"0,5873"</f>
        <v>0,5873</v>
      </c>
      <c r="E7" s="20" t="s">
        <v>19</v>
      </c>
      <c r="F7" s="20" t="s">
        <v>459</v>
      </c>
      <c r="G7" s="21" t="s">
        <v>24</v>
      </c>
      <c r="H7" s="21" t="s">
        <v>278</v>
      </c>
      <c r="I7" s="30" t="s">
        <v>395</v>
      </c>
      <c r="J7" s="30"/>
      <c r="K7" s="20" t="str">
        <f>"230,0"</f>
        <v>230,0</v>
      </c>
      <c r="L7" s="21" t="str">
        <f>"137,5104"</f>
        <v>137,5104</v>
      </c>
      <c r="M7" s="20" t="s">
        <v>90</v>
      </c>
    </row>
    <row r="9" ht="15">
      <c r="E9" s="15" t="s">
        <v>76</v>
      </c>
    </row>
    <row r="10" ht="15">
      <c r="E10" s="15" t="s">
        <v>77</v>
      </c>
    </row>
    <row r="11" ht="15">
      <c r="E11" s="15" t="s">
        <v>78</v>
      </c>
    </row>
    <row r="12" ht="15">
      <c r="E12" s="15" t="s">
        <v>79</v>
      </c>
    </row>
    <row r="13" ht="15">
      <c r="E13" s="15" t="s">
        <v>79</v>
      </c>
    </row>
    <row r="14" ht="15">
      <c r="E14" s="15" t="s">
        <v>80</v>
      </c>
    </row>
    <row r="15" ht="15">
      <c r="E15" s="15"/>
    </row>
    <row r="17" spans="1:2" ht="18">
      <c r="A17" s="16" t="s">
        <v>37</v>
      </c>
      <c r="B17" s="16"/>
    </row>
    <row r="18" spans="1:2" ht="15">
      <c r="A18" s="23" t="s">
        <v>96</v>
      </c>
      <c r="B18" s="23"/>
    </row>
    <row r="19" spans="1:2" ht="14.25">
      <c r="A19" s="24"/>
      <c r="B19" s="25" t="s">
        <v>97</v>
      </c>
    </row>
    <row r="20" spans="1:5" ht="15">
      <c r="A20" s="26" t="s">
        <v>98</v>
      </c>
      <c r="B20" s="26" t="s">
        <v>99</v>
      </c>
      <c r="C20" s="26" t="s">
        <v>100</v>
      </c>
      <c r="D20" s="26" t="s">
        <v>101</v>
      </c>
      <c r="E20" s="26" t="s">
        <v>172</v>
      </c>
    </row>
    <row r="21" spans="1:5" ht="12.75">
      <c r="A21" s="27" t="s">
        <v>461</v>
      </c>
      <c r="B21" s="1" t="s">
        <v>97</v>
      </c>
      <c r="C21" s="1" t="s">
        <v>73</v>
      </c>
      <c r="D21" s="1" t="s">
        <v>278</v>
      </c>
      <c r="E21" s="28" t="s">
        <v>462</v>
      </c>
    </row>
    <row r="23" spans="1:2" ht="14.25">
      <c r="A23" s="24"/>
      <c r="B23" s="25" t="s">
        <v>107</v>
      </c>
    </row>
    <row r="24" spans="1:5" ht="15">
      <c r="A24" s="26" t="s">
        <v>98</v>
      </c>
      <c r="B24" s="26" t="s">
        <v>99</v>
      </c>
      <c r="C24" s="26" t="s">
        <v>100</v>
      </c>
      <c r="D24" s="26" t="s">
        <v>101</v>
      </c>
      <c r="E24" s="26" t="s">
        <v>172</v>
      </c>
    </row>
    <row r="25" spans="1:5" ht="12.75">
      <c r="A25" s="27" t="s">
        <v>461</v>
      </c>
      <c r="B25" s="1" t="s">
        <v>142</v>
      </c>
      <c r="C25" s="1" t="s">
        <v>73</v>
      </c>
      <c r="D25" s="1" t="s">
        <v>278</v>
      </c>
      <c r="E25" s="28" t="s">
        <v>463</v>
      </c>
    </row>
  </sheetData>
  <sheetProtection selectLockedCells="1" selectUnlockedCells="1"/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G6" sqref="G6"/>
    </sheetView>
  </sheetViews>
  <sheetFormatPr defaultColWidth="9.125" defaultRowHeight="12.75"/>
  <cols>
    <col min="1" max="1" width="26.00390625" style="1" customWidth="1"/>
    <col min="2" max="2" width="28.625" style="1" customWidth="1"/>
    <col min="3" max="3" width="10.625" style="1" customWidth="1"/>
    <col min="4" max="4" width="9.25390625" style="1" customWidth="1"/>
    <col min="5" max="5" width="22.75390625" style="1" customWidth="1"/>
    <col min="6" max="6" width="30.375" style="1" customWidth="1"/>
    <col min="7" max="9" width="6.875" style="3" customWidth="1"/>
    <col min="10" max="10" width="4.875" style="3" customWidth="1"/>
    <col min="11" max="11" width="7.875" style="1" customWidth="1"/>
    <col min="12" max="12" width="8.62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2" t="s">
        <v>464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 t="s">
        <v>156</v>
      </c>
      <c r="E3" s="39" t="s">
        <v>4</v>
      </c>
      <c r="F3" s="39" t="s">
        <v>5</v>
      </c>
      <c r="G3" s="40" t="s">
        <v>443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5" spans="1:12" ht="15">
      <c r="A5" s="43" t="s">
        <v>189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1" t="s">
        <v>465</v>
      </c>
      <c r="B6" s="11" t="s">
        <v>466</v>
      </c>
      <c r="C6" s="11" t="s">
        <v>467</v>
      </c>
      <c r="D6" s="11" t="str">
        <f>"0,6797"</f>
        <v>0,6797</v>
      </c>
      <c r="E6" s="11" t="s">
        <v>19</v>
      </c>
      <c r="F6" s="11" t="s">
        <v>468</v>
      </c>
      <c r="G6" s="12" t="s">
        <v>345</v>
      </c>
      <c r="H6" s="12" t="s">
        <v>469</v>
      </c>
      <c r="I6" s="12" t="s">
        <v>346</v>
      </c>
      <c r="J6" s="13"/>
      <c r="K6" s="11" t="str">
        <f>"90,0"</f>
        <v>90,0</v>
      </c>
      <c r="L6" s="12" t="str">
        <f>"69,1255"</f>
        <v>69,1255</v>
      </c>
      <c r="M6" s="11" t="s">
        <v>90</v>
      </c>
    </row>
    <row r="8" spans="1:12" ht="15">
      <c r="A8" s="44" t="s">
        <v>206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ht="12.75">
      <c r="A9" s="8" t="s">
        <v>470</v>
      </c>
      <c r="B9" s="8" t="s">
        <v>471</v>
      </c>
      <c r="C9" s="8" t="s">
        <v>472</v>
      </c>
      <c r="D9" s="8" t="str">
        <f>"0,5599"</f>
        <v>0,5599</v>
      </c>
      <c r="E9" s="8" t="s">
        <v>19</v>
      </c>
      <c r="F9" s="8" t="s">
        <v>46</v>
      </c>
      <c r="G9" s="10" t="s">
        <v>473</v>
      </c>
      <c r="H9" s="9" t="s">
        <v>474</v>
      </c>
      <c r="I9" s="9" t="s">
        <v>475</v>
      </c>
      <c r="J9" s="10"/>
      <c r="K9" s="8" t="str">
        <f>"182,5"</f>
        <v>182,5</v>
      </c>
      <c r="L9" s="9" t="str">
        <f>"102,1817"</f>
        <v>102,1817</v>
      </c>
      <c r="M9" s="8" t="s">
        <v>90</v>
      </c>
    </row>
    <row r="10" spans="1:13" ht="12.75">
      <c r="A10" s="20" t="s">
        <v>476</v>
      </c>
      <c r="B10" s="20" t="s">
        <v>477</v>
      </c>
      <c r="C10" s="20" t="s">
        <v>478</v>
      </c>
      <c r="D10" s="20" t="str">
        <f>"0,5602"</f>
        <v>0,5602</v>
      </c>
      <c r="E10" s="20" t="s">
        <v>19</v>
      </c>
      <c r="F10" s="20" t="s">
        <v>46</v>
      </c>
      <c r="G10" s="21" t="s">
        <v>479</v>
      </c>
      <c r="H10" s="21" t="s">
        <v>480</v>
      </c>
      <c r="I10" s="21" t="s">
        <v>481</v>
      </c>
      <c r="J10" s="30"/>
      <c r="K10" s="20" t="str">
        <f>"167,5"</f>
        <v>167,5</v>
      </c>
      <c r="L10" s="21" t="str">
        <f>"93,8335"</f>
        <v>93,8335</v>
      </c>
      <c r="M10" s="20" t="s">
        <v>90</v>
      </c>
    </row>
    <row r="12" spans="1:12" ht="15">
      <c r="A12" s="44" t="s">
        <v>230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3" ht="12.75">
      <c r="A13" s="11" t="s">
        <v>116</v>
      </c>
      <c r="B13" s="11" t="s">
        <v>117</v>
      </c>
      <c r="C13" s="11" t="s">
        <v>118</v>
      </c>
      <c r="D13" s="11" t="str">
        <f>"0,5452"</f>
        <v>0,5452</v>
      </c>
      <c r="E13" s="11" t="s">
        <v>19</v>
      </c>
      <c r="F13" s="11" t="s">
        <v>119</v>
      </c>
      <c r="G13" s="12" t="s">
        <v>313</v>
      </c>
      <c r="H13" s="13" t="s">
        <v>23</v>
      </c>
      <c r="I13" s="13" t="s">
        <v>23</v>
      </c>
      <c r="J13" s="13"/>
      <c r="K13" s="11" t="str">
        <f>"190,0"</f>
        <v>190,0</v>
      </c>
      <c r="L13" s="12" t="str">
        <f>"103,5880"</f>
        <v>103,5880</v>
      </c>
      <c r="M13" s="11" t="s">
        <v>90</v>
      </c>
    </row>
    <row r="15" spans="1:12" ht="15">
      <c r="A15" s="44" t="s">
        <v>309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3" ht="12.75">
      <c r="A16" s="11" t="s">
        <v>482</v>
      </c>
      <c r="B16" s="11" t="s">
        <v>483</v>
      </c>
      <c r="C16" s="11" t="s">
        <v>484</v>
      </c>
      <c r="D16" s="11" t="str">
        <f>"0,5256"</f>
        <v>0,5256</v>
      </c>
      <c r="E16" s="11" t="s">
        <v>19</v>
      </c>
      <c r="F16" s="11" t="s">
        <v>46</v>
      </c>
      <c r="G16" s="12" t="s">
        <v>313</v>
      </c>
      <c r="H16" s="13" t="s">
        <v>485</v>
      </c>
      <c r="I16" s="12" t="s">
        <v>486</v>
      </c>
      <c r="J16" s="13"/>
      <c r="K16" s="11" t="str">
        <f>"202,5"</f>
        <v>202,5</v>
      </c>
      <c r="L16" s="12" t="str">
        <f>"106,4340"</f>
        <v>106,4340</v>
      </c>
      <c r="M16" s="11" t="s">
        <v>90</v>
      </c>
    </row>
    <row r="18" ht="15">
      <c r="E18" s="15" t="s">
        <v>76</v>
      </c>
    </row>
    <row r="19" ht="15">
      <c r="E19" s="15" t="s">
        <v>77</v>
      </c>
    </row>
    <row r="20" ht="15">
      <c r="E20" s="15" t="s">
        <v>78</v>
      </c>
    </row>
    <row r="21" ht="15">
      <c r="E21" s="15" t="s">
        <v>79</v>
      </c>
    </row>
    <row r="22" ht="15">
      <c r="E22" s="15" t="s">
        <v>79</v>
      </c>
    </row>
    <row r="23" ht="15">
      <c r="E23" s="15" t="s">
        <v>80</v>
      </c>
    </row>
    <row r="24" ht="15">
      <c r="E24" s="15"/>
    </row>
    <row r="26" spans="1:2" ht="18">
      <c r="A26" s="16" t="s">
        <v>37</v>
      </c>
      <c r="B26" s="16"/>
    </row>
    <row r="27" spans="1:2" ht="15">
      <c r="A27" s="23" t="s">
        <v>96</v>
      </c>
      <c r="B27" s="23"/>
    </row>
    <row r="28" spans="1:2" ht="14.25">
      <c r="A28" s="24"/>
      <c r="B28" s="25" t="s">
        <v>213</v>
      </c>
    </row>
    <row r="29" spans="1:5" ht="15">
      <c r="A29" s="26" t="s">
        <v>98</v>
      </c>
      <c r="B29" s="26" t="s">
        <v>99</v>
      </c>
      <c r="C29" s="26" t="s">
        <v>100</v>
      </c>
      <c r="D29" s="26" t="s">
        <v>101</v>
      </c>
      <c r="E29" s="26" t="s">
        <v>172</v>
      </c>
    </row>
    <row r="30" spans="1:5" ht="12.75">
      <c r="A30" s="27" t="s">
        <v>487</v>
      </c>
      <c r="B30" s="1" t="s">
        <v>488</v>
      </c>
      <c r="C30" s="1" t="s">
        <v>217</v>
      </c>
      <c r="D30" s="1" t="s">
        <v>407</v>
      </c>
      <c r="E30" s="28" t="s">
        <v>489</v>
      </c>
    </row>
    <row r="32" spans="1:2" ht="14.25">
      <c r="A32" s="24"/>
      <c r="B32" s="25" t="s">
        <v>97</v>
      </c>
    </row>
    <row r="33" spans="1:5" ht="15">
      <c r="A33" s="26" t="s">
        <v>98</v>
      </c>
      <c r="B33" s="26" t="s">
        <v>99</v>
      </c>
      <c r="C33" s="26" t="s">
        <v>100</v>
      </c>
      <c r="D33" s="26" t="s">
        <v>101</v>
      </c>
      <c r="E33" s="26" t="s">
        <v>172</v>
      </c>
    </row>
    <row r="34" spans="1:5" ht="12.75">
      <c r="A34" s="27" t="s">
        <v>127</v>
      </c>
      <c r="B34" s="1" t="s">
        <v>97</v>
      </c>
      <c r="C34" s="1" t="s">
        <v>239</v>
      </c>
      <c r="D34" s="1" t="s">
        <v>490</v>
      </c>
      <c r="E34" s="28" t="s">
        <v>491</v>
      </c>
    </row>
    <row r="35" spans="1:5" ht="12.75">
      <c r="A35" s="27" t="s">
        <v>492</v>
      </c>
      <c r="B35" s="1" t="s">
        <v>97</v>
      </c>
      <c r="C35" s="1" t="s">
        <v>57</v>
      </c>
      <c r="D35" s="1" t="s">
        <v>493</v>
      </c>
      <c r="E35" s="28" t="s">
        <v>494</v>
      </c>
    </row>
    <row r="36" spans="1:5" ht="12.75">
      <c r="A36" s="27" t="s">
        <v>495</v>
      </c>
      <c r="B36" s="1" t="s">
        <v>97</v>
      </c>
      <c r="C36" s="1" t="s">
        <v>57</v>
      </c>
      <c r="D36" s="1" t="s">
        <v>481</v>
      </c>
      <c r="E36" s="28" t="s">
        <v>496</v>
      </c>
    </row>
    <row r="38" spans="1:2" ht="14.25">
      <c r="A38" s="24"/>
      <c r="B38" s="25" t="s">
        <v>107</v>
      </c>
    </row>
    <row r="39" spans="1:5" ht="15">
      <c r="A39" s="26" t="s">
        <v>98</v>
      </c>
      <c r="B39" s="26" t="s">
        <v>99</v>
      </c>
      <c r="C39" s="26" t="s">
        <v>100</v>
      </c>
      <c r="D39" s="26" t="s">
        <v>101</v>
      </c>
      <c r="E39" s="26" t="s">
        <v>172</v>
      </c>
    </row>
    <row r="40" spans="1:5" ht="12.75">
      <c r="A40" s="27" t="s">
        <v>497</v>
      </c>
      <c r="B40" s="1" t="s">
        <v>142</v>
      </c>
      <c r="C40" s="1" t="s">
        <v>322</v>
      </c>
      <c r="D40" s="1" t="s">
        <v>22</v>
      </c>
      <c r="E40" s="28" t="s">
        <v>498</v>
      </c>
    </row>
  </sheetData>
  <sheetProtection selectLockedCells="1" selectUnlockedCells="1"/>
  <mergeCells count="15">
    <mergeCell ref="M3:M4"/>
    <mergeCell ref="A5:L5"/>
    <mergeCell ref="A8:L8"/>
    <mergeCell ref="A12:L12"/>
    <mergeCell ref="A15:L1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G6" sqref="G6"/>
    </sheetView>
  </sheetViews>
  <sheetFormatPr defaultColWidth="9.125" defaultRowHeight="12.75"/>
  <cols>
    <col min="1" max="1" width="26.00390625" style="1" customWidth="1"/>
    <col min="2" max="2" width="28.625" style="1" customWidth="1"/>
    <col min="3" max="3" width="10.625" style="1" customWidth="1"/>
    <col min="4" max="4" width="9.25390625" style="1" customWidth="1"/>
    <col min="5" max="5" width="22.75390625" style="1" customWidth="1"/>
    <col min="6" max="6" width="32.00390625" style="1" customWidth="1"/>
    <col min="7" max="9" width="6.875" style="3" customWidth="1"/>
    <col min="10" max="10" width="4.875" style="3" customWidth="1"/>
    <col min="11" max="11" width="7.875" style="1" customWidth="1"/>
    <col min="12" max="12" width="8.625" style="3" customWidth="1"/>
    <col min="13" max="13" width="12.625" style="1" customWidth="1"/>
    <col min="14" max="16384" width="9.125" style="3" customWidth="1"/>
  </cols>
  <sheetData>
    <row r="1" spans="1:13" s="5" customFormat="1" ht="28.5" customHeight="1">
      <c r="A1" s="42" t="s">
        <v>499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 t="s">
        <v>156</v>
      </c>
      <c r="E3" s="39" t="s">
        <v>4</v>
      </c>
      <c r="F3" s="39" t="s">
        <v>5</v>
      </c>
      <c r="G3" s="40" t="s">
        <v>443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5" spans="1:12" ht="15">
      <c r="A5" s="43" t="s">
        <v>260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1" t="s">
        <v>500</v>
      </c>
      <c r="B6" s="11" t="s">
        <v>501</v>
      </c>
      <c r="C6" s="11" t="s">
        <v>299</v>
      </c>
      <c r="D6" s="11" t="str">
        <f>"0,9693"</f>
        <v>0,9693</v>
      </c>
      <c r="E6" s="11" t="s">
        <v>19</v>
      </c>
      <c r="F6" s="11" t="s">
        <v>46</v>
      </c>
      <c r="G6" s="12" t="s">
        <v>502</v>
      </c>
      <c r="H6" s="12" t="s">
        <v>503</v>
      </c>
      <c r="I6" s="13"/>
      <c r="J6" s="13"/>
      <c r="K6" s="11" t="str">
        <f>"40,0"</f>
        <v>40,0</v>
      </c>
      <c r="L6" s="12" t="str">
        <f>"38,7740"</f>
        <v>38,7740</v>
      </c>
      <c r="M6" s="11" t="s">
        <v>90</v>
      </c>
    </row>
    <row r="8" spans="1:12" ht="15">
      <c r="A8" s="44" t="s">
        <v>189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ht="12.75">
      <c r="A9" s="8" t="s">
        <v>504</v>
      </c>
      <c r="B9" s="8" t="s">
        <v>505</v>
      </c>
      <c r="C9" s="8" t="s">
        <v>506</v>
      </c>
      <c r="D9" s="8" t="str">
        <f>"0,6687"</f>
        <v>0,6687</v>
      </c>
      <c r="E9" s="8" t="s">
        <v>19</v>
      </c>
      <c r="F9" s="8" t="s">
        <v>46</v>
      </c>
      <c r="G9" s="10" t="s">
        <v>507</v>
      </c>
      <c r="H9" s="10" t="s">
        <v>508</v>
      </c>
      <c r="I9" s="10" t="s">
        <v>508</v>
      </c>
      <c r="J9" s="10"/>
      <c r="K9" s="8" t="str">
        <f>"0.00"</f>
        <v>0.00</v>
      </c>
      <c r="L9" s="9" t="str">
        <f>"0,0000"</f>
        <v>0,0000</v>
      </c>
      <c r="M9" s="8" t="s">
        <v>90</v>
      </c>
    </row>
    <row r="10" spans="1:13" ht="12.75">
      <c r="A10" s="20" t="s">
        <v>509</v>
      </c>
      <c r="B10" s="20" t="s">
        <v>510</v>
      </c>
      <c r="C10" s="20" t="s">
        <v>511</v>
      </c>
      <c r="D10" s="20" t="str">
        <f>"0,6716"</f>
        <v>0,6716</v>
      </c>
      <c r="E10" s="20" t="s">
        <v>19</v>
      </c>
      <c r="F10" s="20" t="s">
        <v>46</v>
      </c>
      <c r="G10" s="21" t="s">
        <v>347</v>
      </c>
      <c r="H10" s="21" t="s">
        <v>512</v>
      </c>
      <c r="I10" s="21" t="s">
        <v>513</v>
      </c>
      <c r="J10" s="30"/>
      <c r="K10" s="20" t="str">
        <f>"102,5"</f>
        <v>102,5</v>
      </c>
      <c r="L10" s="21" t="str">
        <f>"143,5982"</f>
        <v>143,5982</v>
      </c>
      <c r="M10" s="20" t="s">
        <v>90</v>
      </c>
    </row>
    <row r="12" spans="1:12" ht="15">
      <c r="A12" s="44" t="s">
        <v>193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3" ht="12.75">
      <c r="A13" s="11" t="s">
        <v>194</v>
      </c>
      <c r="B13" s="11" t="s">
        <v>195</v>
      </c>
      <c r="C13" s="11" t="s">
        <v>196</v>
      </c>
      <c r="D13" s="11" t="str">
        <f>"0,6262"</f>
        <v>0,6262</v>
      </c>
      <c r="E13" s="11" t="s">
        <v>19</v>
      </c>
      <c r="F13" s="11" t="s">
        <v>197</v>
      </c>
      <c r="G13" s="12" t="s">
        <v>514</v>
      </c>
      <c r="H13" s="12" t="s">
        <v>237</v>
      </c>
      <c r="I13" s="13" t="s">
        <v>175</v>
      </c>
      <c r="J13" s="13"/>
      <c r="K13" s="11" t="str">
        <f>"130,0"</f>
        <v>130,0</v>
      </c>
      <c r="L13" s="12" t="str">
        <f>"84,6622"</f>
        <v>84,6622</v>
      </c>
      <c r="M13" s="11" t="s">
        <v>187</v>
      </c>
    </row>
    <row r="15" spans="1:12" ht="15">
      <c r="A15" s="44" t="s">
        <v>368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3" ht="12.75">
      <c r="A16" s="8" t="s">
        <v>392</v>
      </c>
      <c r="B16" s="8" t="s">
        <v>393</v>
      </c>
      <c r="C16" s="8" t="s">
        <v>138</v>
      </c>
      <c r="D16" s="8" t="str">
        <f>"0,5889"</f>
        <v>0,5889</v>
      </c>
      <c r="E16" s="8" t="s">
        <v>19</v>
      </c>
      <c r="F16" s="8" t="s">
        <v>394</v>
      </c>
      <c r="G16" s="9" t="s">
        <v>515</v>
      </c>
      <c r="H16" s="9" t="s">
        <v>516</v>
      </c>
      <c r="I16" s="9" t="s">
        <v>517</v>
      </c>
      <c r="J16" s="10"/>
      <c r="K16" s="8" t="str">
        <f>"157,5"</f>
        <v>157,5</v>
      </c>
      <c r="L16" s="9" t="str">
        <f>"92,7518"</f>
        <v>92,7518</v>
      </c>
      <c r="M16" s="8" t="s">
        <v>90</v>
      </c>
    </row>
    <row r="17" spans="1:13" ht="12.75">
      <c r="A17" s="31" t="s">
        <v>518</v>
      </c>
      <c r="B17" s="31" t="s">
        <v>519</v>
      </c>
      <c r="C17" s="31" t="s">
        <v>520</v>
      </c>
      <c r="D17" s="31" t="str">
        <f>"0,6041"</f>
        <v>0,6041</v>
      </c>
      <c r="E17" s="31" t="s">
        <v>19</v>
      </c>
      <c r="F17" s="31" t="s">
        <v>20</v>
      </c>
      <c r="G17" s="32" t="s">
        <v>355</v>
      </c>
      <c r="H17" s="32" t="s">
        <v>521</v>
      </c>
      <c r="I17" s="33" t="s">
        <v>522</v>
      </c>
      <c r="J17" s="33"/>
      <c r="K17" s="31" t="str">
        <f>"150,0"</f>
        <v>150,0</v>
      </c>
      <c r="L17" s="32" t="str">
        <f>"90,6150"</f>
        <v>90,6150</v>
      </c>
      <c r="M17" s="31" t="s">
        <v>266</v>
      </c>
    </row>
    <row r="18" spans="1:13" ht="12.75">
      <c r="A18" s="31" t="s">
        <v>523</v>
      </c>
      <c r="B18" s="31" t="s">
        <v>457</v>
      </c>
      <c r="C18" s="31" t="s">
        <v>458</v>
      </c>
      <c r="D18" s="31" t="str">
        <f>"0,5873"</f>
        <v>0,5873</v>
      </c>
      <c r="E18" s="31" t="s">
        <v>19</v>
      </c>
      <c r="F18" s="31" t="s">
        <v>459</v>
      </c>
      <c r="G18" s="32" t="s">
        <v>240</v>
      </c>
      <c r="H18" s="32" t="s">
        <v>399</v>
      </c>
      <c r="I18" s="32" t="s">
        <v>521</v>
      </c>
      <c r="J18" s="33"/>
      <c r="K18" s="31" t="str">
        <f>"150,0"</f>
        <v>150,0</v>
      </c>
      <c r="L18" s="32" t="str">
        <f>"88,0950"</f>
        <v>88,0950</v>
      </c>
      <c r="M18" s="31" t="s">
        <v>90</v>
      </c>
    </row>
    <row r="19" spans="1:13" ht="12.75">
      <c r="A19" s="31" t="s">
        <v>524</v>
      </c>
      <c r="B19" s="31" t="s">
        <v>86</v>
      </c>
      <c r="C19" s="31" t="s">
        <v>87</v>
      </c>
      <c r="D19" s="31" t="str">
        <f>"0,5947"</f>
        <v>0,5947</v>
      </c>
      <c r="E19" s="31" t="s">
        <v>19</v>
      </c>
      <c r="F19" s="31" t="s">
        <v>46</v>
      </c>
      <c r="G19" s="32" t="s">
        <v>508</v>
      </c>
      <c r="H19" s="33" t="s">
        <v>350</v>
      </c>
      <c r="I19" s="33" t="s">
        <v>240</v>
      </c>
      <c r="J19" s="33"/>
      <c r="K19" s="31" t="str">
        <f>"115,0"</f>
        <v>115,0</v>
      </c>
      <c r="L19" s="32" t="str">
        <f>"68,3905"</f>
        <v>68,3905</v>
      </c>
      <c r="M19" s="31" t="s">
        <v>90</v>
      </c>
    </row>
    <row r="20" spans="1:13" ht="12.75">
      <c r="A20" s="31" t="s">
        <v>525</v>
      </c>
      <c r="B20" s="31" t="s">
        <v>526</v>
      </c>
      <c r="C20" s="31" t="s">
        <v>527</v>
      </c>
      <c r="D20" s="31" t="str">
        <f>"0,5853"</f>
        <v>0,5853</v>
      </c>
      <c r="E20" s="31" t="s">
        <v>19</v>
      </c>
      <c r="F20" s="31" t="s">
        <v>528</v>
      </c>
      <c r="G20" s="33" t="s">
        <v>529</v>
      </c>
      <c r="H20" s="33"/>
      <c r="I20" s="33"/>
      <c r="J20" s="33"/>
      <c r="K20" s="31" t="str">
        <f>"0.00"</f>
        <v>0.00</v>
      </c>
      <c r="L20" s="32" t="str">
        <f>"0,0000"</f>
        <v>0,0000</v>
      </c>
      <c r="M20" s="31" t="s">
        <v>90</v>
      </c>
    </row>
    <row r="21" spans="1:13" ht="12.75">
      <c r="A21" s="20" t="s">
        <v>456</v>
      </c>
      <c r="B21" s="20" t="s">
        <v>460</v>
      </c>
      <c r="C21" s="20" t="s">
        <v>458</v>
      </c>
      <c r="D21" s="20" t="str">
        <f>"0,5873"</f>
        <v>0,5873</v>
      </c>
      <c r="E21" s="20" t="s">
        <v>19</v>
      </c>
      <c r="F21" s="20" t="s">
        <v>459</v>
      </c>
      <c r="G21" s="21" t="s">
        <v>240</v>
      </c>
      <c r="H21" s="21" t="s">
        <v>399</v>
      </c>
      <c r="I21" s="21" t="s">
        <v>515</v>
      </c>
      <c r="J21" s="30"/>
      <c r="K21" s="20" t="str">
        <f>"150,0"</f>
        <v>150,0</v>
      </c>
      <c r="L21" s="21" t="str">
        <f>"89,6807"</f>
        <v>89,6807</v>
      </c>
      <c r="M21" s="20" t="s">
        <v>90</v>
      </c>
    </row>
    <row r="23" spans="1:12" ht="15">
      <c r="A23" s="44" t="s">
        <v>230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3" ht="12.75">
      <c r="A24" s="11" t="s">
        <v>530</v>
      </c>
      <c r="B24" s="11" t="s">
        <v>531</v>
      </c>
      <c r="C24" s="11" t="s">
        <v>532</v>
      </c>
      <c r="D24" s="11" t="str">
        <f>"0,5500"</f>
        <v>0,5500</v>
      </c>
      <c r="E24" s="11" t="s">
        <v>19</v>
      </c>
      <c r="F24" s="11" t="s">
        <v>46</v>
      </c>
      <c r="G24" s="12" t="s">
        <v>521</v>
      </c>
      <c r="H24" s="12" t="s">
        <v>516</v>
      </c>
      <c r="I24" s="12" t="s">
        <v>517</v>
      </c>
      <c r="J24" s="13"/>
      <c r="K24" s="11" t="str">
        <f>"157,5"</f>
        <v>157,5</v>
      </c>
      <c r="L24" s="12" t="str">
        <f>"94,5945"</f>
        <v>94,5945</v>
      </c>
      <c r="M24" s="11" t="s">
        <v>90</v>
      </c>
    </row>
    <row r="26" spans="1:12" ht="15">
      <c r="A26" s="44" t="s">
        <v>309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3" ht="12.75">
      <c r="A27" s="8" t="s">
        <v>533</v>
      </c>
      <c r="B27" s="8" t="s">
        <v>483</v>
      </c>
      <c r="C27" s="8" t="s">
        <v>484</v>
      </c>
      <c r="D27" s="8" t="str">
        <f>"0,5256"</f>
        <v>0,5256</v>
      </c>
      <c r="E27" s="8" t="s">
        <v>19</v>
      </c>
      <c r="F27" s="8" t="s">
        <v>46</v>
      </c>
      <c r="G27" s="10" t="s">
        <v>490</v>
      </c>
      <c r="H27" s="10"/>
      <c r="I27" s="10"/>
      <c r="J27" s="10"/>
      <c r="K27" s="8" t="str">
        <f>"0.00"</f>
        <v>0.00</v>
      </c>
      <c r="L27" s="9" t="str">
        <f>"0,0000"</f>
        <v>0,0000</v>
      </c>
      <c r="M27" s="8" t="s">
        <v>90</v>
      </c>
    </row>
    <row r="28" spans="1:13" ht="12.75">
      <c r="A28" s="20" t="s">
        <v>310</v>
      </c>
      <c r="B28" s="20" t="s">
        <v>311</v>
      </c>
      <c r="C28" s="20" t="s">
        <v>312</v>
      </c>
      <c r="D28" s="20" t="str">
        <f>"0,5281"</f>
        <v>0,5281</v>
      </c>
      <c r="E28" s="20" t="s">
        <v>19</v>
      </c>
      <c r="F28" s="20" t="s">
        <v>20</v>
      </c>
      <c r="G28" s="21" t="s">
        <v>356</v>
      </c>
      <c r="H28" s="21" t="s">
        <v>516</v>
      </c>
      <c r="I28" s="30" t="s">
        <v>534</v>
      </c>
      <c r="J28" s="30"/>
      <c r="K28" s="20" t="str">
        <f>"155,0"</f>
        <v>155,0</v>
      </c>
      <c r="L28" s="21" t="str">
        <f>"85,7846"</f>
        <v>85,7846</v>
      </c>
      <c r="M28" s="20" t="s">
        <v>266</v>
      </c>
    </row>
    <row r="30" ht="15">
      <c r="E30" s="15" t="s">
        <v>76</v>
      </c>
    </row>
    <row r="31" ht="15">
      <c r="E31" s="15" t="s">
        <v>77</v>
      </c>
    </row>
    <row r="32" ht="15">
      <c r="E32" s="15" t="s">
        <v>78</v>
      </c>
    </row>
    <row r="33" ht="15">
      <c r="E33" s="15" t="s">
        <v>79</v>
      </c>
    </row>
    <row r="34" ht="15">
      <c r="E34" s="15" t="s">
        <v>79</v>
      </c>
    </row>
    <row r="35" ht="15">
      <c r="E35" s="15" t="s">
        <v>80</v>
      </c>
    </row>
    <row r="36" ht="15">
      <c r="E36" s="15"/>
    </row>
    <row r="38" spans="1:2" ht="18">
      <c r="A38" s="16" t="s">
        <v>37</v>
      </c>
      <c r="B38" s="16"/>
    </row>
    <row r="39" spans="1:2" ht="15">
      <c r="A39" s="23" t="s">
        <v>150</v>
      </c>
      <c r="B39" s="23"/>
    </row>
    <row r="40" spans="1:2" ht="14.25">
      <c r="A40" s="24"/>
      <c r="B40" s="25" t="s">
        <v>97</v>
      </c>
    </row>
    <row r="41" spans="1:5" ht="15">
      <c r="A41" s="26" t="s">
        <v>98</v>
      </c>
      <c r="B41" s="26" t="s">
        <v>99</v>
      </c>
      <c r="C41" s="26" t="s">
        <v>100</v>
      </c>
      <c r="D41" s="26" t="s">
        <v>101</v>
      </c>
      <c r="E41" s="26" t="s">
        <v>172</v>
      </c>
    </row>
    <row r="42" spans="1:5" ht="12.75">
      <c r="A42" s="27" t="s">
        <v>43</v>
      </c>
      <c r="B42" s="1" t="s">
        <v>97</v>
      </c>
      <c r="C42" s="1" t="s">
        <v>45</v>
      </c>
      <c r="D42" s="1" t="s">
        <v>535</v>
      </c>
      <c r="E42" s="28" t="s">
        <v>536</v>
      </c>
    </row>
    <row r="45" spans="1:2" ht="15">
      <c r="A45" s="23" t="s">
        <v>96</v>
      </c>
      <c r="B45" s="23"/>
    </row>
    <row r="46" spans="1:2" ht="14.25">
      <c r="A46" s="24"/>
      <c r="B46" s="25" t="s">
        <v>213</v>
      </c>
    </row>
    <row r="47" spans="1:5" ht="15">
      <c r="A47" s="26" t="s">
        <v>98</v>
      </c>
      <c r="B47" s="26" t="s">
        <v>99</v>
      </c>
      <c r="C47" s="26" t="s">
        <v>100</v>
      </c>
      <c r="D47" s="26" t="s">
        <v>101</v>
      </c>
      <c r="E47" s="26" t="s">
        <v>172</v>
      </c>
    </row>
    <row r="48" spans="1:5" ht="12.75">
      <c r="A48" s="27" t="s">
        <v>52</v>
      </c>
      <c r="B48" s="1" t="s">
        <v>214</v>
      </c>
      <c r="C48" s="1" t="s">
        <v>215</v>
      </c>
      <c r="D48" s="1" t="s">
        <v>240</v>
      </c>
      <c r="E48" s="28" t="s">
        <v>537</v>
      </c>
    </row>
    <row r="50" spans="1:2" ht="14.25">
      <c r="A50" s="24"/>
      <c r="B50" s="25" t="s">
        <v>97</v>
      </c>
    </row>
    <row r="51" spans="1:5" ht="15">
      <c r="A51" s="26" t="s">
        <v>98</v>
      </c>
      <c r="B51" s="26" t="s">
        <v>99</v>
      </c>
      <c r="C51" s="26" t="s">
        <v>100</v>
      </c>
      <c r="D51" s="26" t="s">
        <v>101</v>
      </c>
      <c r="E51" s="26" t="s">
        <v>172</v>
      </c>
    </row>
    <row r="52" spans="1:5" ht="12.75">
      <c r="A52" s="27" t="s">
        <v>430</v>
      </c>
      <c r="B52" s="1" t="s">
        <v>97</v>
      </c>
      <c r="C52" s="1" t="s">
        <v>73</v>
      </c>
      <c r="D52" s="1" t="s">
        <v>522</v>
      </c>
      <c r="E52" s="28" t="s">
        <v>538</v>
      </c>
    </row>
    <row r="53" spans="1:5" ht="12.75">
      <c r="A53" s="27" t="s">
        <v>539</v>
      </c>
      <c r="B53" s="1" t="s">
        <v>97</v>
      </c>
      <c r="C53" s="1" t="s">
        <v>73</v>
      </c>
      <c r="D53" s="1" t="s">
        <v>521</v>
      </c>
      <c r="E53" s="28" t="s">
        <v>540</v>
      </c>
    </row>
    <row r="54" spans="1:5" ht="12.75">
      <c r="A54" s="27" t="s">
        <v>461</v>
      </c>
      <c r="B54" s="1" t="s">
        <v>97</v>
      </c>
      <c r="C54" s="1" t="s">
        <v>73</v>
      </c>
      <c r="D54" s="1" t="s">
        <v>521</v>
      </c>
      <c r="E54" s="28" t="s">
        <v>541</v>
      </c>
    </row>
    <row r="55" spans="1:5" ht="12.75">
      <c r="A55" s="27" t="s">
        <v>103</v>
      </c>
      <c r="B55" s="1" t="s">
        <v>97</v>
      </c>
      <c r="C55" s="1" t="s">
        <v>73</v>
      </c>
      <c r="D55" s="1" t="s">
        <v>508</v>
      </c>
      <c r="E55" s="28" t="s">
        <v>542</v>
      </c>
    </row>
    <row r="57" spans="1:2" ht="14.25">
      <c r="A57" s="24"/>
      <c r="B57" s="25" t="s">
        <v>107</v>
      </c>
    </row>
    <row r="58" spans="1:5" ht="15">
      <c r="A58" s="26" t="s">
        <v>98</v>
      </c>
      <c r="B58" s="26" t="s">
        <v>99</v>
      </c>
      <c r="C58" s="26" t="s">
        <v>100</v>
      </c>
      <c r="D58" s="26" t="s">
        <v>101</v>
      </c>
      <c r="E58" s="26" t="s">
        <v>172</v>
      </c>
    </row>
    <row r="59" spans="1:5" ht="12.75">
      <c r="A59" s="27" t="s">
        <v>543</v>
      </c>
      <c r="B59" s="1" t="s">
        <v>544</v>
      </c>
      <c r="C59" s="1" t="s">
        <v>217</v>
      </c>
      <c r="D59" s="1" t="s">
        <v>513</v>
      </c>
      <c r="E59" s="28" t="s">
        <v>545</v>
      </c>
    </row>
    <row r="60" spans="1:5" ht="12.75">
      <c r="A60" s="27" t="s">
        <v>546</v>
      </c>
      <c r="B60" s="1" t="s">
        <v>321</v>
      </c>
      <c r="C60" s="1" t="s">
        <v>239</v>
      </c>
      <c r="D60" s="1" t="s">
        <v>522</v>
      </c>
      <c r="E60" s="28" t="s">
        <v>547</v>
      </c>
    </row>
    <row r="61" spans="1:5" ht="12.75">
      <c r="A61" s="27" t="s">
        <v>461</v>
      </c>
      <c r="B61" s="1" t="s">
        <v>142</v>
      </c>
      <c r="C61" s="1" t="s">
        <v>73</v>
      </c>
      <c r="D61" s="1" t="s">
        <v>521</v>
      </c>
      <c r="E61" s="28" t="s">
        <v>548</v>
      </c>
    </row>
    <row r="62" spans="1:5" ht="12.75">
      <c r="A62" s="27" t="s">
        <v>320</v>
      </c>
      <c r="B62" s="1" t="s">
        <v>321</v>
      </c>
      <c r="C62" s="1" t="s">
        <v>322</v>
      </c>
      <c r="D62" s="1" t="s">
        <v>549</v>
      </c>
      <c r="E62" s="28" t="s">
        <v>550</v>
      </c>
    </row>
  </sheetData>
  <sheetProtection selectLockedCells="1" selectUnlockedCells="1"/>
  <mergeCells count="17">
    <mergeCell ref="A26:L26"/>
    <mergeCell ref="M3:M4"/>
    <mergeCell ref="A5:L5"/>
    <mergeCell ref="A8:L8"/>
    <mergeCell ref="A12:L12"/>
    <mergeCell ref="A15:L15"/>
    <mergeCell ref="A23:L23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2" t="s">
        <v>551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7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G6" sqref="G6"/>
    </sheetView>
  </sheetViews>
  <sheetFormatPr defaultColWidth="9.125" defaultRowHeight="12.75"/>
  <cols>
    <col min="1" max="1" width="26.00390625" style="1" customWidth="1"/>
    <col min="2" max="2" width="28.625" style="1" customWidth="1"/>
    <col min="3" max="3" width="10.625" style="1" customWidth="1"/>
    <col min="4" max="4" width="9.25390625" style="1" customWidth="1"/>
    <col min="5" max="5" width="22.75390625" style="1" customWidth="1"/>
    <col min="6" max="6" width="33.375" style="1" customWidth="1"/>
    <col min="7" max="8" width="6.875" style="3" customWidth="1"/>
    <col min="9" max="9" width="5.625" style="3" customWidth="1"/>
    <col min="10" max="10" width="4.875" style="3" customWidth="1"/>
    <col min="11" max="11" width="7.875" style="1" customWidth="1"/>
    <col min="12" max="12" width="8.625" style="3" customWidth="1"/>
    <col min="13" max="13" width="9.75390625" style="1" customWidth="1"/>
    <col min="14" max="16384" width="9.125" style="3" customWidth="1"/>
  </cols>
  <sheetData>
    <row r="1" spans="1:13" s="5" customFormat="1" ht="28.5" customHeight="1">
      <c r="A1" s="42" t="s">
        <v>552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 t="s">
        <v>156</v>
      </c>
      <c r="E3" s="39" t="s">
        <v>4</v>
      </c>
      <c r="F3" s="39" t="s">
        <v>5</v>
      </c>
      <c r="G3" s="40" t="s">
        <v>443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5" spans="1:12" ht="15">
      <c r="A5" s="43" t="s">
        <v>193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1" t="s">
        <v>553</v>
      </c>
      <c r="B6" s="11" t="s">
        <v>554</v>
      </c>
      <c r="C6" s="11" t="s">
        <v>555</v>
      </c>
      <c r="D6" s="11" t="str">
        <f>"0,6273"</f>
        <v>0,6273</v>
      </c>
      <c r="E6" s="11" t="s">
        <v>19</v>
      </c>
      <c r="F6" s="11" t="s">
        <v>556</v>
      </c>
      <c r="G6" s="12" t="s">
        <v>557</v>
      </c>
      <c r="H6" s="13" t="s">
        <v>558</v>
      </c>
      <c r="I6" s="13" t="s">
        <v>558</v>
      </c>
      <c r="J6" s="13"/>
      <c r="K6" s="11" t="str">
        <f>"180,0"</f>
        <v>180,0</v>
      </c>
      <c r="L6" s="12" t="str">
        <f>"112,9140"</f>
        <v>112,9140</v>
      </c>
      <c r="M6" s="11" t="s">
        <v>90</v>
      </c>
    </row>
    <row r="8" spans="1:12" ht="15">
      <c r="A8" s="44" t="s">
        <v>368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ht="12.75">
      <c r="A9" s="11" t="s">
        <v>559</v>
      </c>
      <c r="B9" s="11" t="s">
        <v>560</v>
      </c>
      <c r="C9" s="11" t="s">
        <v>561</v>
      </c>
      <c r="D9" s="11" t="str">
        <f>"0,5893"</f>
        <v>0,5893</v>
      </c>
      <c r="E9" s="11" t="s">
        <v>19</v>
      </c>
      <c r="F9" s="11" t="s">
        <v>468</v>
      </c>
      <c r="G9" s="12" t="s">
        <v>562</v>
      </c>
      <c r="H9" s="12" t="s">
        <v>514</v>
      </c>
      <c r="I9" s="13" t="s">
        <v>350</v>
      </c>
      <c r="J9" s="13"/>
      <c r="K9" s="11" t="str">
        <f>"120,0"</f>
        <v>120,0</v>
      </c>
      <c r="L9" s="12" t="str">
        <f>"108,5491"</f>
        <v>108,5491</v>
      </c>
      <c r="M9" s="11" t="s">
        <v>563</v>
      </c>
    </row>
    <row r="11" ht="15">
      <c r="E11" s="15" t="s">
        <v>76</v>
      </c>
    </row>
    <row r="12" ht="15">
      <c r="E12" s="15" t="s">
        <v>77</v>
      </c>
    </row>
    <row r="13" ht="15">
      <c r="E13" s="15" t="s">
        <v>78</v>
      </c>
    </row>
    <row r="14" ht="15">
      <c r="E14" s="15" t="s">
        <v>79</v>
      </c>
    </row>
    <row r="15" ht="15">
      <c r="E15" s="15" t="s">
        <v>79</v>
      </c>
    </row>
    <row r="16" ht="15">
      <c r="E16" s="15" t="s">
        <v>80</v>
      </c>
    </row>
    <row r="17" ht="15">
      <c r="E17" s="15"/>
    </row>
    <row r="19" spans="1:2" ht="18">
      <c r="A19" s="16" t="s">
        <v>37</v>
      </c>
      <c r="B19" s="16"/>
    </row>
    <row r="20" spans="1:2" ht="15">
      <c r="A20" s="23" t="s">
        <v>96</v>
      </c>
      <c r="B20" s="23"/>
    </row>
    <row r="21" spans="1:2" ht="14.25">
      <c r="A21" s="24"/>
      <c r="B21" s="25" t="s">
        <v>97</v>
      </c>
    </row>
    <row r="22" spans="1:5" ht="15">
      <c r="A22" s="26" t="s">
        <v>98</v>
      </c>
      <c r="B22" s="26" t="s">
        <v>99</v>
      </c>
      <c r="C22" s="26" t="s">
        <v>100</v>
      </c>
      <c r="D22" s="26" t="s">
        <v>101</v>
      </c>
      <c r="E22" s="26" t="s">
        <v>172</v>
      </c>
    </row>
    <row r="23" spans="1:5" ht="12.75">
      <c r="A23" s="27" t="s">
        <v>564</v>
      </c>
      <c r="B23" s="1" t="s">
        <v>97</v>
      </c>
      <c r="C23" s="1" t="s">
        <v>215</v>
      </c>
      <c r="D23" s="1" t="s">
        <v>449</v>
      </c>
      <c r="E23" s="28" t="s">
        <v>565</v>
      </c>
    </row>
    <row r="25" spans="1:2" ht="14.25">
      <c r="A25" s="24"/>
      <c r="B25" s="25" t="s">
        <v>107</v>
      </c>
    </row>
    <row r="26" spans="1:5" ht="15">
      <c r="A26" s="26" t="s">
        <v>98</v>
      </c>
      <c r="B26" s="26" t="s">
        <v>99</v>
      </c>
      <c r="C26" s="26" t="s">
        <v>100</v>
      </c>
      <c r="D26" s="26" t="s">
        <v>101</v>
      </c>
      <c r="E26" s="26" t="s">
        <v>172</v>
      </c>
    </row>
    <row r="27" spans="1:5" ht="12.75">
      <c r="A27" s="27" t="s">
        <v>566</v>
      </c>
      <c r="B27" s="1" t="s">
        <v>294</v>
      </c>
      <c r="C27" s="1" t="s">
        <v>73</v>
      </c>
      <c r="D27" s="1" t="s">
        <v>236</v>
      </c>
      <c r="E27" s="28" t="s">
        <v>567</v>
      </c>
    </row>
  </sheetData>
  <sheetProtection selectLockedCells="1" selectUnlockedCells="1"/>
  <mergeCells count="13"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H6" sqref="H6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10.625" style="1" customWidth="1"/>
    <col min="4" max="4" width="9.25390625" style="1" customWidth="1"/>
    <col min="5" max="5" width="22.75390625" style="1" customWidth="1"/>
    <col min="6" max="6" width="17.25390625" style="1" customWidth="1"/>
    <col min="7" max="7" width="5.625" style="3" customWidth="1"/>
    <col min="8" max="9" width="6.875" style="3" customWidth="1"/>
    <col min="10" max="10" width="4.875" style="3" customWidth="1"/>
    <col min="11" max="11" width="7.875" style="1" customWidth="1"/>
    <col min="12" max="12" width="8.625" style="3" customWidth="1"/>
    <col min="13" max="13" width="25.75390625" style="1" customWidth="1"/>
    <col min="14" max="16384" width="9.125" style="3" customWidth="1"/>
  </cols>
  <sheetData>
    <row r="1" spans="1:13" s="5" customFormat="1" ht="28.5" customHeight="1">
      <c r="A1" s="42" t="s">
        <v>568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 t="s">
        <v>156</v>
      </c>
      <c r="E3" s="39" t="s">
        <v>4</v>
      </c>
      <c r="F3" s="39" t="s">
        <v>5</v>
      </c>
      <c r="G3" s="40" t="s">
        <v>443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5" spans="1:12" ht="15">
      <c r="A5" s="43" t="s">
        <v>309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1" t="s">
        <v>569</v>
      </c>
      <c r="B6" s="11" t="s">
        <v>570</v>
      </c>
      <c r="C6" s="11" t="s">
        <v>571</v>
      </c>
      <c r="D6" s="11" t="str">
        <f>"0,5296"</f>
        <v>0,5296</v>
      </c>
      <c r="E6" s="11" t="s">
        <v>19</v>
      </c>
      <c r="F6" s="11" t="s">
        <v>572</v>
      </c>
      <c r="G6" s="12" t="s">
        <v>23</v>
      </c>
      <c r="H6" s="12" t="s">
        <v>573</v>
      </c>
      <c r="I6" s="12" t="s">
        <v>574</v>
      </c>
      <c r="J6" s="13"/>
      <c r="K6" s="11" t="str">
        <f>"230,0"</f>
        <v>230,0</v>
      </c>
      <c r="L6" s="12" t="str">
        <f>"121,8080"</f>
        <v>121,8080</v>
      </c>
      <c r="M6" s="11" t="s">
        <v>575</v>
      </c>
    </row>
    <row r="8" ht="15">
      <c r="E8" s="15" t="s">
        <v>76</v>
      </c>
    </row>
    <row r="9" ht="15">
      <c r="E9" s="15" t="s">
        <v>77</v>
      </c>
    </row>
    <row r="10" ht="15">
      <c r="E10" s="15" t="s">
        <v>78</v>
      </c>
    </row>
    <row r="11" ht="15">
      <c r="E11" s="15" t="s">
        <v>79</v>
      </c>
    </row>
    <row r="12" ht="15">
      <c r="E12" s="15" t="s">
        <v>79</v>
      </c>
    </row>
    <row r="13" ht="15">
      <c r="E13" s="15" t="s">
        <v>80</v>
      </c>
    </row>
    <row r="14" ht="15">
      <c r="E14" s="15"/>
    </row>
    <row r="16" spans="1:2" ht="18">
      <c r="A16" s="16" t="s">
        <v>37</v>
      </c>
      <c r="B16" s="16"/>
    </row>
    <row r="17" spans="1:2" ht="15">
      <c r="A17" s="23" t="s">
        <v>96</v>
      </c>
      <c r="B17" s="23"/>
    </row>
    <row r="18" spans="1:2" ht="14.25">
      <c r="A18" s="24"/>
      <c r="B18" s="25" t="s">
        <v>97</v>
      </c>
    </row>
    <row r="19" spans="1:5" ht="15">
      <c r="A19" s="26" t="s">
        <v>98</v>
      </c>
      <c r="B19" s="26" t="s">
        <v>99</v>
      </c>
      <c r="C19" s="26" t="s">
        <v>100</v>
      </c>
      <c r="D19" s="26" t="s">
        <v>101</v>
      </c>
      <c r="E19" s="26" t="s">
        <v>172</v>
      </c>
    </row>
    <row r="20" spans="1:5" ht="12.75">
      <c r="A20" s="27" t="s">
        <v>576</v>
      </c>
      <c r="B20" s="1" t="s">
        <v>97</v>
      </c>
      <c r="C20" s="1" t="s">
        <v>322</v>
      </c>
      <c r="D20" s="1" t="s">
        <v>278</v>
      </c>
      <c r="E20" s="28" t="s">
        <v>577</v>
      </c>
    </row>
  </sheetData>
  <sheetProtection selectLockedCells="1" selectUnlockedCells="1"/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P1">
      <selection activeCell="Z7" sqref="Z7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7" width="2.125" style="3" customWidth="1"/>
    <col min="8" max="8" width="2.125" style="17" customWidth="1"/>
    <col min="9" max="9" width="7.875" style="1" customWidth="1"/>
    <col min="10" max="10" width="6.37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2" t="s">
        <v>75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39</v>
      </c>
      <c r="H3" s="40"/>
      <c r="I3" s="39" t="s">
        <v>40</v>
      </c>
      <c r="J3" s="39" t="s">
        <v>10</v>
      </c>
      <c r="K3" s="41" t="s">
        <v>11</v>
      </c>
    </row>
    <row r="4" spans="1:11" s="6" customFormat="1" ht="21" customHeight="1">
      <c r="A4" s="36"/>
      <c r="B4" s="37"/>
      <c r="C4" s="37"/>
      <c r="D4" s="37"/>
      <c r="E4" s="37"/>
      <c r="F4" s="37"/>
      <c r="G4" s="7" t="s">
        <v>41</v>
      </c>
      <c r="H4" s="18" t="s">
        <v>42</v>
      </c>
      <c r="I4" s="39"/>
      <c r="J4" s="39"/>
      <c r="K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1" width="7.875" style="1" customWidth="1"/>
    <col min="12" max="12" width="6.37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2" t="s">
        <v>578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7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6" sqref="E6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10.625" style="1" customWidth="1"/>
    <col min="4" max="4" width="9.25390625" style="1" customWidth="1"/>
    <col min="5" max="5" width="22.75390625" style="1" customWidth="1"/>
    <col min="6" max="6" width="26.875" style="1" customWidth="1"/>
    <col min="7" max="9" width="6.875" style="3" customWidth="1"/>
    <col min="10" max="10" width="4.875" style="3" customWidth="1"/>
    <col min="11" max="11" width="7.875" style="1" customWidth="1"/>
    <col min="12" max="12" width="8.625" style="3" customWidth="1"/>
    <col min="13" max="13" width="8.875" style="1" customWidth="1"/>
    <col min="14" max="16384" width="9.125" style="3" customWidth="1"/>
  </cols>
  <sheetData>
    <row r="1" spans="1:13" s="5" customFormat="1" ht="28.5" customHeight="1">
      <c r="A1" s="42" t="s">
        <v>579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 t="s">
        <v>156</v>
      </c>
      <c r="E3" s="39" t="s">
        <v>4</v>
      </c>
      <c r="F3" s="39" t="s">
        <v>5</v>
      </c>
      <c r="G3" s="40" t="s">
        <v>443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5" spans="1:12" ht="15">
      <c r="A5" s="43" t="s">
        <v>230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1" t="s">
        <v>231</v>
      </c>
      <c r="B6" s="11" t="s">
        <v>232</v>
      </c>
      <c r="C6" s="11" t="s">
        <v>233</v>
      </c>
      <c r="D6" s="11" t="str">
        <f>"0,5377"</f>
        <v>0,5377</v>
      </c>
      <c r="E6" s="34" t="s">
        <v>234</v>
      </c>
      <c r="F6" s="11" t="s">
        <v>235</v>
      </c>
      <c r="G6" s="12" t="s">
        <v>448</v>
      </c>
      <c r="H6" s="12" t="s">
        <v>557</v>
      </c>
      <c r="I6" s="12" t="s">
        <v>313</v>
      </c>
      <c r="J6" s="13"/>
      <c r="K6" s="11" t="str">
        <f>"190,0"</f>
        <v>190,0</v>
      </c>
      <c r="L6" s="12" t="str">
        <f>"102,1630"</f>
        <v>102,1630</v>
      </c>
      <c r="M6" s="11" t="s">
        <v>90</v>
      </c>
    </row>
    <row r="8" ht="15">
      <c r="E8" s="15" t="s">
        <v>76</v>
      </c>
    </row>
    <row r="9" ht="15">
      <c r="E9" s="15" t="s">
        <v>77</v>
      </c>
    </row>
    <row r="10" ht="15">
      <c r="E10" s="15" t="s">
        <v>78</v>
      </c>
    </row>
    <row r="11" ht="15">
      <c r="E11" s="15" t="s">
        <v>79</v>
      </c>
    </row>
    <row r="12" ht="15">
      <c r="E12" s="15" t="s">
        <v>79</v>
      </c>
    </row>
    <row r="13" ht="15">
      <c r="E13" s="15" t="s">
        <v>80</v>
      </c>
    </row>
    <row r="14" ht="15">
      <c r="E14" s="15"/>
    </row>
    <row r="16" spans="1:2" ht="18">
      <c r="A16" s="16" t="s">
        <v>37</v>
      </c>
      <c r="B16" s="16"/>
    </row>
    <row r="17" spans="1:2" ht="15">
      <c r="A17" s="23" t="s">
        <v>96</v>
      </c>
      <c r="B17" s="23"/>
    </row>
    <row r="18" spans="1:2" ht="14.25">
      <c r="A18" s="24"/>
      <c r="B18" s="25" t="s">
        <v>97</v>
      </c>
    </row>
    <row r="19" spans="1:5" ht="15">
      <c r="A19" s="26" t="s">
        <v>98</v>
      </c>
      <c r="B19" s="26" t="s">
        <v>99</v>
      </c>
      <c r="C19" s="26" t="s">
        <v>100</v>
      </c>
      <c r="D19" s="26" t="s">
        <v>101</v>
      </c>
      <c r="E19" s="26" t="s">
        <v>172</v>
      </c>
    </row>
    <row r="20" spans="1:5" ht="12.75">
      <c r="A20" s="27" t="s">
        <v>238</v>
      </c>
      <c r="B20" s="1" t="s">
        <v>97</v>
      </c>
      <c r="C20" s="1" t="s">
        <v>239</v>
      </c>
      <c r="D20" s="1" t="s">
        <v>490</v>
      </c>
      <c r="E20" s="28" t="s">
        <v>580</v>
      </c>
    </row>
  </sheetData>
  <sheetProtection selectLockedCells="1" selectUnlockedCells="1"/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6" sqref="G6"/>
    </sheetView>
  </sheetViews>
  <sheetFormatPr defaultColWidth="9.125" defaultRowHeight="12.75"/>
  <cols>
    <col min="1" max="1" width="26.00390625" style="1" customWidth="1"/>
    <col min="2" max="2" width="28.625" style="1" customWidth="1"/>
    <col min="3" max="3" width="10.625" style="1" customWidth="1"/>
    <col min="4" max="4" width="9.25390625" style="1" customWidth="1"/>
    <col min="5" max="5" width="22.75390625" style="1" customWidth="1"/>
    <col min="6" max="6" width="29.00390625" style="1" customWidth="1"/>
    <col min="7" max="9" width="6.875" style="3" customWidth="1"/>
    <col min="10" max="10" width="4.875" style="3" customWidth="1"/>
    <col min="11" max="11" width="7.875" style="1" customWidth="1"/>
    <col min="12" max="12" width="7.625" style="3" customWidth="1"/>
    <col min="13" max="13" width="15.25390625" style="1" customWidth="1"/>
    <col min="14" max="16384" width="9.125" style="3" customWidth="1"/>
  </cols>
  <sheetData>
    <row r="1" spans="1:13" s="5" customFormat="1" ht="28.5" customHeight="1">
      <c r="A1" s="42" t="s">
        <v>581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6" customFormat="1" ht="12.75" customHeight="1">
      <c r="A3" s="36" t="s">
        <v>0</v>
      </c>
      <c r="B3" s="37" t="s">
        <v>1</v>
      </c>
      <c r="C3" s="37" t="s">
        <v>2</v>
      </c>
      <c r="D3" s="39" t="s">
        <v>156</v>
      </c>
      <c r="E3" s="39" t="s">
        <v>4</v>
      </c>
      <c r="F3" s="39" t="s">
        <v>5</v>
      </c>
      <c r="G3" s="40" t="s">
        <v>443</v>
      </c>
      <c r="H3" s="40"/>
      <c r="I3" s="40"/>
      <c r="J3" s="40"/>
      <c r="K3" s="39" t="s">
        <v>178</v>
      </c>
      <c r="L3" s="39" t="s">
        <v>10</v>
      </c>
      <c r="M3" s="41" t="s">
        <v>11</v>
      </c>
    </row>
    <row r="4" spans="1:13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39"/>
      <c r="L4" s="39"/>
      <c r="M4" s="41"/>
    </row>
    <row r="5" spans="1:12" ht="15">
      <c r="A5" s="43" t="s">
        <v>189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1" t="s">
        <v>582</v>
      </c>
      <c r="B6" s="11" t="s">
        <v>583</v>
      </c>
      <c r="C6" s="11" t="s">
        <v>584</v>
      </c>
      <c r="D6" s="11" t="str">
        <f>"0,6939"</f>
        <v>0,6939</v>
      </c>
      <c r="E6" s="11" t="s">
        <v>19</v>
      </c>
      <c r="F6" s="11" t="s">
        <v>585</v>
      </c>
      <c r="G6" s="12" t="s">
        <v>514</v>
      </c>
      <c r="H6" s="12" t="s">
        <v>586</v>
      </c>
      <c r="I6" s="12" t="s">
        <v>237</v>
      </c>
      <c r="J6" s="13"/>
      <c r="K6" s="11" t="str">
        <f>"130,0"</f>
        <v>130,0</v>
      </c>
      <c r="L6" s="12" t="str">
        <f>"90,2011"</f>
        <v>90,2011</v>
      </c>
      <c r="M6" s="11" t="s">
        <v>587</v>
      </c>
    </row>
    <row r="8" spans="1:12" ht="15">
      <c r="A8" s="44" t="s">
        <v>368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ht="12.75">
      <c r="A9" s="8" t="s">
        <v>456</v>
      </c>
      <c r="B9" s="8" t="s">
        <v>457</v>
      </c>
      <c r="C9" s="8" t="s">
        <v>458</v>
      </c>
      <c r="D9" s="8" t="str">
        <f>"0,5873"</f>
        <v>0,5873</v>
      </c>
      <c r="E9" s="8" t="s">
        <v>19</v>
      </c>
      <c r="F9" s="8" t="s">
        <v>459</v>
      </c>
      <c r="G9" s="9" t="s">
        <v>240</v>
      </c>
      <c r="H9" s="9" t="s">
        <v>399</v>
      </c>
      <c r="I9" s="9" t="s">
        <v>515</v>
      </c>
      <c r="J9" s="10"/>
      <c r="K9" s="8" t="str">
        <f>"150,0"</f>
        <v>150,0</v>
      </c>
      <c r="L9" s="9" t="str">
        <f>"88,0950"</f>
        <v>88,0950</v>
      </c>
      <c r="M9" s="8" t="s">
        <v>90</v>
      </c>
    </row>
    <row r="10" spans="1:13" ht="12.75">
      <c r="A10" s="20" t="s">
        <v>456</v>
      </c>
      <c r="B10" s="20" t="s">
        <v>460</v>
      </c>
      <c r="C10" s="20" t="s">
        <v>458</v>
      </c>
      <c r="D10" s="20" t="str">
        <f>"0,5873"</f>
        <v>0,5873</v>
      </c>
      <c r="E10" s="20" t="s">
        <v>19</v>
      </c>
      <c r="F10" s="20" t="s">
        <v>459</v>
      </c>
      <c r="G10" s="21" t="s">
        <v>240</v>
      </c>
      <c r="H10" s="21" t="s">
        <v>399</v>
      </c>
      <c r="I10" s="21" t="s">
        <v>515</v>
      </c>
      <c r="J10" s="30"/>
      <c r="K10" s="20" t="str">
        <f>"150,0"</f>
        <v>150,0</v>
      </c>
      <c r="L10" s="21" t="str">
        <f>"89,6807"</f>
        <v>89,6807</v>
      </c>
      <c r="M10" s="20" t="s">
        <v>90</v>
      </c>
    </row>
    <row r="12" ht="15">
      <c r="E12" s="15" t="s">
        <v>76</v>
      </c>
    </row>
    <row r="13" ht="15">
      <c r="E13" s="15" t="s">
        <v>77</v>
      </c>
    </row>
    <row r="14" ht="15">
      <c r="E14" s="15" t="s">
        <v>78</v>
      </c>
    </row>
    <row r="15" ht="15">
      <c r="E15" s="15" t="s">
        <v>79</v>
      </c>
    </row>
    <row r="16" ht="15">
      <c r="E16" s="15" t="s">
        <v>79</v>
      </c>
    </row>
    <row r="17" ht="15">
      <c r="E17" s="15" t="s">
        <v>80</v>
      </c>
    </row>
    <row r="18" ht="15">
      <c r="E18" s="15"/>
    </row>
    <row r="20" spans="1:2" ht="18">
      <c r="A20" s="16" t="s">
        <v>37</v>
      </c>
      <c r="B20" s="16"/>
    </row>
    <row r="21" spans="1:2" ht="15">
      <c r="A21" s="23" t="s">
        <v>96</v>
      </c>
      <c r="B21" s="23"/>
    </row>
    <row r="22" spans="1:2" ht="14.25">
      <c r="A22" s="24"/>
      <c r="B22" s="25" t="s">
        <v>97</v>
      </c>
    </row>
    <row r="23" spans="1:5" ht="15">
      <c r="A23" s="26" t="s">
        <v>98</v>
      </c>
      <c r="B23" s="26" t="s">
        <v>99</v>
      </c>
      <c r="C23" s="26" t="s">
        <v>100</v>
      </c>
      <c r="D23" s="26" t="s">
        <v>101</v>
      </c>
      <c r="E23" s="26" t="s">
        <v>172</v>
      </c>
    </row>
    <row r="24" spans="1:5" ht="12.75">
      <c r="A24" s="27" t="s">
        <v>588</v>
      </c>
      <c r="B24" s="1" t="s">
        <v>97</v>
      </c>
      <c r="C24" s="1" t="s">
        <v>217</v>
      </c>
      <c r="D24" s="1" t="s">
        <v>240</v>
      </c>
      <c r="E24" s="28" t="s">
        <v>589</v>
      </c>
    </row>
    <row r="25" spans="1:5" ht="12.75">
      <c r="A25" s="27" t="s">
        <v>461</v>
      </c>
      <c r="B25" s="1" t="s">
        <v>97</v>
      </c>
      <c r="C25" s="1" t="s">
        <v>73</v>
      </c>
      <c r="D25" s="1" t="s">
        <v>521</v>
      </c>
      <c r="E25" s="28" t="s">
        <v>541</v>
      </c>
    </row>
    <row r="27" spans="1:2" ht="14.25">
      <c r="A27" s="24"/>
      <c r="B27" s="25" t="s">
        <v>107</v>
      </c>
    </row>
    <row r="28" spans="1:5" ht="15">
      <c r="A28" s="26" t="s">
        <v>98</v>
      </c>
      <c r="B28" s="26" t="s">
        <v>99</v>
      </c>
      <c r="C28" s="26" t="s">
        <v>100</v>
      </c>
      <c r="D28" s="26" t="s">
        <v>101</v>
      </c>
      <c r="E28" s="26" t="s">
        <v>172</v>
      </c>
    </row>
    <row r="29" spans="1:5" ht="12.75">
      <c r="A29" s="27" t="s">
        <v>461</v>
      </c>
      <c r="B29" s="1" t="s">
        <v>142</v>
      </c>
      <c r="C29" s="1" t="s">
        <v>73</v>
      </c>
      <c r="D29" s="1" t="s">
        <v>521</v>
      </c>
      <c r="E29" s="28" t="s">
        <v>548</v>
      </c>
    </row>
  </sheetData>
  <sheetProtection selectLockedCells="1" selectUnlockedCells="1"/>
  <mergeCells count="13"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H6" sqref="H6"/>
    </sheetView>
  </sheetViews>
  <sheetFormatPr defaultColWidth="9.125" defaultRowHeight="12.75"/>
  <cols>
    <col min="1" max="1" width="26.00390625" style="1" customWidth="1"/>
    <col min="2" max="2" width="27.75390625" style="1" customWidth="1"/>
    <col min="3" max="3" width="10.625" style="1" customWidth="1"/>
    <col min="4" max="4" width="9.25390625" style="1" customWidth="1"/>
    <col min="5" max="5" width="22.75390625" style="1" customWidth="1"/>
    <col min="6" max="6" width="29.75390625" style="1" customWidth="1"/>
    <col min="7" max="7" width="5.625" style="3" customWidth="1"/>
    <col min="8" max="8" width="6.875" style="3" customWidth="1"/>
    <col min="9" max="9" width="5.625" style="3" customWidth="1"/>
    <col min="10" max="10" width="4.875" style="3" customWidth="1"/>
    <col min="11" max="11" width="6.875" style="3" customWidth="1"/>
    <col min="12" max="13" width="5.625" style="3" customWidth="1"/>
    <col min="14" max="14" width="4.875" style="3" customWidth="1"/>
    <col min="15" max="16" width="6.875" style="3" customWidth="1"/>
    <col min="17" max="17" width="5.625" style="3" customWidth="1"/>
    <col min="18" max="18" width="4.875" style="3" customWidth="1"/>
    <col min="19" max="19" width="7.875" style="1" customWidth="1"/>
    <col min="20" max="20" width="8.625" style="3" customWidth="1"/>
    <col min="21" max="21" width="8.875" style="1" customWidth="1"/>
    <col min="22" max="16384" width="9.125" style="3" customWidth="1"/>
  </cols>
  <sheetData>
    <row r="1" spans="1:21" s="5" customFormat="1" ht="28.5" customHeight="1">
      <c r="A1" s="42" t="s">
        <v>590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6" customFormat="1" ht="12.75" customHeight="1">
      <c r="A3" s="36" t="s">
        <v>0</v>
      </c>
      <c r="B3" s="37" t="s">
        <v>1</v>
      </c>
      <c r="C3" s="37" t="s">
        <v>2</v>
      </c>
      <c r="D3" s="39" t="s">
        <v>156</v>
      </c>
      <c r="E3" s="39" t="s">
        <v>4</v>
      </c>
      <c r="F3" s="39" t="s">
        <v>5</v>
      </c>
      <c r="G3" s="40" t="s">
        <v>274</v>
      </c>
      <c r="H3" s="40"/>
      <c r="I3" s="40"/>
      <c r="J3" s="40"/>
      <c r="K3" s="40" t="s">
        <v>443</v>
      </c>
      <c r="L3" s="40"/>
      <c r="M3" s="40"/>
      <c r="N3" s="40"/>
      <c r="O3" s="40" t="s">
        <v>331</v>
      </c>
      <c r="P3" s="40"/>
      <c r="Q3" s="40"/>
      <c r="R3" s="40"/>
      <c r="S3" s="39" t="s">
        <v>9</v>
      </c>
      <c r="T3" s="39" t="s">
        <v>10</v>
      </c>
      <c r="U3" s="41" t="s">
        <v>11</v>
      </c>
    </row>
    <row r="4" spans="1:21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39"/>
      <c r="T4" s="39"/>
      <c r="U4" s="41"/>
    </row>
    <row r="5" spans="1:20" ht="15">
      <c r="A5" s="43" t="s">
        <v>230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1" ht="12.75">
      <c r="A6" s="11" t="s">
        <v>591</v>
      </c>
      <c r="B6" s="11" t="s">
        <v>592</v>
      </c>
      <c r="C6" s="11" t="s">
        <v>593</v>
      </c>
      <c r="D6" s="11" t="str">
        <f>"0,5365"</f>
        <v>0,5365</v>
      </c>
      <c r="E6" s="11" t="s">
        <v>19</v>
      </c>
      <c r="F6" s="11" t="s">
        <v>46</v>
      </c>
      <c r="G6" s="12" t="s">
        <v>399</v>
      </c>
      <c r="H6" s="12" t="s">
        <v>515</v>
      </c>
      <c r="I6" s="12" t="s">
        <v>594</v>
      </c>
      <c r="J6" s="13"/>
      <c r="K6" s="12" t="s">
        <v>237</v>
      </c>
      <c r="L6" s="12" t="s">
        <v>521</v>
      </c>
      <c r="M6" s="13" t="s">
        <v>595</v>
      </c>
      <c r="N6" s="13"/>
      <c r="O6" s="12" t="s">
        <v>448</v>
      </c>
      <c r="P6" s="12" t="s">
        <v>596</v>
      </c>
      <c r="Q6" s="13" t="s">
        <v>23</v>
      </c>
      <c r="R6" s="13"/>
      <c r="S6" s="11" t="s">
        <v>597</v>
      </c>
      <c r="T6" s="12" t="str">
        <f>"306,1537"</f>
        <v>306,1537</v>
      </c>
      <c r="U6" s="11" t="s">
        <v>90</v>
      </c>
    </row>
    <row r="8" ht="15">
      <c r="E8" s="15" t="s">
        <v>76</v>
      </c>
    </row>
    <row r="9" ht="15">
      <c r="E9" s="15" t="s">
        <v>77</v>
      </c>
    </row>
    <row r="10" ht="15">
      <c r="E10" s="15" t="s">
        <v>78</v>
      </c>
    </row>
    <row r="11" ht="15">
      <c r="E11" s="15" t="s">
        <v>79</v>
      </c>
    </row>
    <row r="12" ht="15">
      <c r="E12" s="15" t="s">
        <v>79</v>
      </c>
    </row>
    <row r="13" ht="15">
      <c r="E13" s="15" t="s">
        <v>80</v>
      </c>
    </row>
    <row r="14" ht="15">
      <c r="E14" s="15"/>
    </row>
    <row r="16" spans="1:2" ht="18">
      <c r="A16" s="16" t="s">
        <v>37</v>
      </c>
      <c r="B16" s="16"/>
    </row>
    <row r="17" spans="1:2" ht="15">
      <c r="A17" s="23" t="s">
        <v>96</v>
      </c>
      <c r="B17" s="23"/>
    </row>
    <row r="18" spans="1:2" ht="14.25">
      <c r="A18" s="24"/>
      <c r="B18" s="25" t="s">
        <v>213</v>
      </c>
    </row>
    <row r="19" spans="1:5" ht="15">
      <c r="A19" s="26" t="s">
        <v>98</v>
      </c>
      <c r="B19" s="26" t="s">
        <v>99</v>
      </c>
      <c r="C19" s="26" t="s">
        <v>100</v>
      </c>
      <c r="D19" s="26" t="s">
        <v>101</v>
      </c>
      <c r="E19" s="26" t="s">
        <v>172</v>
      </c>
    </row>
    <row r="20" spans="1:5" ht="12.75">
      <c r="A20" s="27" t="s">
        <v>598</v>
      </c>
      <c r="B20" s="1" t="s">
        <v>488</v>
      </c>
      <c r="C20" s="1" t="s">
        <v>239</v>
      </c>
      <c r="D20" s="1" t="s">
        <v>599</v>
      </c>
      <c r="E20" s="28" t="s">
        <v>600</v>
      </c>
    </row>
  </sheetData>
  <sheetProtection selectLockedCells="1" selectUnlockedCells="1"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3" width="2.125" style="3" customWidth="1"/>
    <col min="14" max="14" width="4.875" style="3" customWidth="1"/>
    <col min="15" max="17" width="2.125" style="3" customWidth="1"/>
    <col min="18" max="18" width="4.875" style="3" customWidth="1"/>
    <col min="19" max="19" width="7.875" style="1" customWidth="1"/>
    <col min="20" max="20" width="6.375" style="3" customWidth="1"/>
    <col min="21" max="21" width="8.875" style="1" customWidth="1"/>
    <col min="22" max="16384" width="9.125" style="3" customWidth="1"/>
  </cols>
  <sheetData>
    <row r="1" spans="1:21" s="5" customFormat="1" ht="28.5" customHeight="1">
      <c r="A1" s="42" t="s">
        <v>601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6</v>
      </c>
      <c r="H3" s="40"/>
      <c r="I3" s="40"/>
      <c r="J3" s="40"/>
      <c r="K3" s="40" t="s">
        <v>7</v>
      </c>
      <c r="L3" s="40"/>
      <c r="M3" s="40"/>
      <c r="N3" s="40"/>
      <c r="O3" s="40" t="s">
        <v>8</v>
      </c>
      <c r="P3" s="40"/>
      <c r="Q3" s="40"/>
      <c r="R3" s="40"/>
      <c r="S3" s="39" t="s">
        <v>9</v>
      </c>
      <c r="T3" s="39" t="s">
        <v>10</v>
      </c>
      <c r="U3" s="41" t="s">
        <v>11</v>
      </c>
    </row>
    <row r="4" spans="1:21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39"/>
      <c r="T4" s="39"/>
      <c r="U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8.625" style="1" customWidth="1"/>
    <col min="3" max="3" width="10.625" style="1" customWidth="1"/>
    <col min="4" max="4" width="9.25390625" style="1" customWidth="1"/>
    <col min="5" max="5" width="22.75390625" style="1" customWidth="1"/>
    <col min="6" max="6" width="26.375" style="1" customWidth="1"/>
    <col min="7" max="9" width="6.875" style="3" customWidth="1"/>
    <col min="10" max="10" width="4.875" style="3" customWidth="1"/>
    <col min="11" max="13" width="6.875" style="3" customWidth="1"/>
    <col min="14" max="14" width="4.875" style="3" customWidth="1"/>
    <col min="15" max="17" width="6.875" style="3" customWidth="1"/>
    <col min="18" max="18" width="4.875" style="3" customWidth="1"/>
    <col min="19" max="19" width="7.875" style="1" customWidth="1"/>
    <col min="20" max="20" width="8.625" style="3" customWidth="1"/>
    <col min="21" max="21" width="28.125" style="1" customWidth="1"/>
    <col min="22" max="16384" width="9.125" style="3" customWidth="1"/>
  </cols>
  <sheetData>
    <row r="1" spans="1:21" s="5" customFormat="1" ht="28.5" customHeight="1">
      <c r="A1" s="42" t="s">
        <v>602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6" customFormat="1" ht="12.75" customHeight="1">
      <c r="A3" s="36" t="s">
        <v>0</v>
      </c>
      <c r="B3" s="37" t="s">
        <v>1</v>
      </c>
      <c r="C3" s="37" t="s">
        <v>2</v>
      </c>
      <c r="D3" s="39" t="s">
        <v>156</v>
      </c>
      <c r="E3" s="39" t="s">
        <v>4</v>
      </c>
      <c r="F3" s="39" t="s">
        <v>5</v>
      </c>
      <c r="G3" s="40" t="s">
        <v>274</v>
      </c>
      <c r="H3" s="40"/>
      <c r="I3" s="40"/>
      <c r="J3" s="40"/>
      <c r="K3" s="40" t="s">
        <v>443</v>
      </c>
      <c r="L3" s="40"/>
      <c r="M3" s="40"/>
      <c r="N3" s="40"/>
      <c r="O3" s="40" t="s">
        <v>331</v>
      </c>
      <c r="P3" s="40"/>
      <c r="Q3" s="40"/>
      <c r="R3" s="40"/>
      <c r="S3" s="39" t="s">
        <v>9</v>
      </c>
      <c r="T3" s="39" t="s">
        <v>10</v>
      </c>
      <c r="U3" s="41" t="s">
        <v>11</v>
      </c>
    </row>
    <row r="4" spans="1:21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39"/>
      <c r="T4" s="39"/>
      <c r="U4" s="41"/>
    </row>
    <row r="5" spans="1:20" ht="15">
      <c r="A5" s="43" t="s">
        <v>159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1" ht="12.75">
      <c r="A6" s="11" t="s">
        <v>603</v>
      </c>
      <c r="B6" s="11" t="s">
        <v>604</v>
      </c>
      <c r="C6" s="11" t="s">
        <v>605</v>
      </c>
      <c r="D6" s="11" t="str">
        <f>"0,7591"</f>
        <v>0,7591</v>
      </c>
      <c r="E6" s="11" t="s">
        <v>19</v>
      </c>
      <c r="F6" s="11" t="s">
        <v>468</v>
      </c>
      <c r="G6" s="12" t="s">
        <v>346</v>
      </c>
      <c r="H6" s="12" t="s">
        <v>120</v>
      </c>
      <c r="I6" s="12" t="s">
        <v>562</v>
      </c>
      <c r="J6" s="13"/>
      <c r="K6" s="12" t="s">
        <v>95</v>
      </c>
      <c r="L6" s="13" t="s">
        <v>302</v>
      </c>
      <c r="M6" s="12" t="s">
        <v>606</v>
      </c>
      <c r="N6" s="13"/>
      <c r="O6" s="12" t="s">
        <v>355</v>
      </c>
      <c r="P6" s="12" t="s">
        <v>515</v>
      </c>
      <c r="Q6" s="12" t="s">
        <v>517</v>
      </c>
      <c r="R6" s="13"/>
      <c r="S6" s="11" t="s">
        <v>607</v>
      </c>
      <c r="T6" s="12" t="str">
        <f>"302,3116"</f>
        <v>302,3116</v>
      </c>
      <c r="U6" s="11" t="s">
        <v>608</v>
      </c>
    </row>
    <row r="8" spans="1:20" ht="15">
      <c r="A8" s="44" t="s">
        <v>193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1" ht="12.75">
      <c r="A9" s="11" t="s">
        <v>609</v>
      </c>
      <c r="B9" s="11" t="s">
        <v>610</v>
      </c>
      <c r="C9" s="11" t="s">
        <v>611</v>
      </c>
      <c r="D9" s="11" t="str">
        <f>"0,6219"</f>
        <v>0,6219</v>
      </c>
      <c r="E9" s="11" t="s">
        <v>612</v>
      </c>
      <c r="F9" s="11" t="s">
        <v>613</v>
      </c>
      <c r="G9" s="13" t="s">
        <v>399</v>
      </c>
      <c r="H9" s="12" t="s">
        <v>521</v>
      </c>
      <c r="I9" s="13"/>
      <c r="J9" s="13"/>
      <c r="K9" s="12" t="s">
        <v>614</v>
      </c>
      <c r="L9" s="12" t="s">
        <v>407</v>
      </c>
      <c r="M9" s="13" t="s">
        <v>347</v>
      </c>
      <c r="N9" s="13"/>
      <c r="O9" s="12" t="s">
        <v>449</v>
      </c>
      <c r="P9" s="12" t="s">
        <v>23</v>
      </c>
      <c r="Q9" s="13"/>
      <c r="R9" s="13"/>
      <c r="S9" s="11" t="str">
        <f>"440,0"</f>
        <v>440,0</v>
      </c>
      <c r="T9" s="12" t="str">
        <f>"495,2812"</f>
        <v>495,2812</v>
      </c>
      <c r="U9" s="11" t="s">
        <v>615</v>
      </c>
    </row>
    <row r="11" spans="1:20" ht="15">
      <c r="A11" s="44" t="s">
        <v>368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1" ht="12.75">
      <c r="A12" s="8" t="s">
        <v>616</v>
      </c>
      <c r="B12" s="8" t="s">
        <v>617</v>
      </c>
      <c r="C12" s="8" t="s">
        <v>561</v>
      </c>
      <c r="D12" s="8" t="str">
        <f>"0,5893"</f>
        <v>0,5893</v>
      </c>
      <c r="E12" s="8" t="s">
        <v>19</v>
      </c>
      <c r="F12" s="8" t="s">
        <v>468</v>
      </c>
      <c r="G12" s="9" t="s">
        <v>345</v>
      </c>
      <c r="H12" s="9" t="s">
        <v>346</v>
      </c>
      <c r="I12" s="9" t="s">
        <v>512</v>
      </c>
      <c r="J12" s="10"/>
      <c r="K12" s="9" t="s">
        <v>95</v>
      </c>
      <c r="L12" s="9" t="s">
        <v>618</v>
      </c>
      <c r="M12" s="9" t="s">
        <v>212</v>
      </c>
      <c r="N12" s="10"/>
      <c r="O12" s="9" t="s">
        <v>120</v>
      </c>
      <c r="P12" s="9" t="s">
        <v>562</v>
      </c>
      <c r="Q12" s="9" t="s">
        <v>619</v>
      </c>
      <c r="R12" s="10"/>
      <c r="S12" s="8" t="s">
        <v>620</v>
      </c>
      <c r="T12" s="9" t="str">
        <f>"183,8616"</f>
        <v>183,8616</v>
      </c>
      <c r="U12" s="8" t="s">
        <v>608</v>
      </c>
    </row>
    <row r="13" spans="1:21" ht="12.75">
      <c r="A13" s="20" t="s">
        <v>621</v>
      </c>
      <c r="B13" s="20" t="s">
        <v>622</v>
      </c>
      <c r="C13" s="20" t="s">
        <v>623</v>
      </c>
      <c r="D13" s="20" t="str">
        <f>"0,6167"</f>
        <v>0,6167</v>
      </c>
      <c r="E13" s="20" t="s">
        <v>19</v>
      </c>
      <c r="F13" s="20" t="s">
        <v>624</v>
      </c>
      <c r="G13" s="21" t="s">
        <v>515</v>
      </c>
      <c r="H13" s="21" t="s">
        <v>534</v>
      </c>
      <c r="I13" s="30" t="s">
        <v>625</v>
      </c>
      <c r="J13" s="30"/>
      <c r="K13" s="21" t="s">
        <v>619</v>
      </c>
      <c r="L13" s="21" t="s">
        <v>626</v>
      </c>
      <c r="M13" s="30" t="s">
        <v>291</v>
      </c>
      <c r="N13" s="30"/>
      <c r="O13" s="21" t="s">
        <v>557</v>
      </c>
      <c r="P13" s="21" t="s">
        <v>596</v>
      </c>
      <c r="Q13" s="30" t="s">
        <v>315</v>
      </c>
      <c r="R13" s="30"/>
      <c r="S13" s="20" t="s">
        <v>627</v>
      </c>
      <c r="T13" s="21" t="str">
        <f>"303,7247"</f>
        <v>303,7247</v>
      </c>
      <c r="U13" s="20" t="s">
        <v>90</v>
      </c>
    </row>
    <row r="15" spans="1:20" ht="15">
      <c r="A15" s="44" t="s">
        <v>206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1:21" ht="12.75">
      <c r="A16" s="11" t="s">
        <v>628</v>
      </c>
      <c r="B16" s="11" t="s">
        <v>629</v>
      </c>
      <c r="C16" s="11" t="s">
        <v>630</v>
      </c>
      <c r="D16" s="11" t="str">
        <f>"0,5540"</f>
        <v>0,5540</v>
      </c>
      <c r="E16" s="11" t="s">
        <v>19</v>
      </c>
      <c r="F16" s="11" t="s">
        <v>360</v>
      </c>
      <c r="G16" s="12" t="s">
        <v>631</v>
      </c>
      <c r="H16" s="12" t="s">
        <v>337</v>
      </c>
      <c r="I16" s="12" t="s">
        <v>280</v>
      </c>
      <c r="J16" s="13"/>
      <c r="K16" s="12" t="s">
        <v>632</v>
      </c>
      <c r="L16" s="12" t="s">
        <v>450</v>
      </c>
      <c r="M16" s="12" t="s">
        <v>313</v>
      </c>
      <c r="N16" s="13"/>
      <c r="O16" s="12" t="s">
        <v>405</v>
      </c>
      <c r="P16" s="12" t="s">
        <v>406</v>
      </c>
      <c r="Q16" s="12" t="s">
        <v>633</v>
      </c>
      <c r="R16" s="13"/>
      <c r="S16" s="11" t="s">
        <v>634</v>
      </c>
      <c r="T16" s="12" t="str">
        <f>"412,7300"</f>
        <v>412,7300</v>
      </c>
      <c r="U16" s="11" t="s">
        <v>635</v>
      </c>
    </row>
    <row r="18" spans="1:20" ht="15">
      <c r="A18" s="44" t="s">
        <v>309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1" ht="12.75">
      <c r="A19" s="11" t="s">
        <v>636</v>
      </c>
      <c r="B19" s="11" t="s">
        <v>637</v>
      </c>
      <c r="C19" s="11" t="s">
        <v>638</v>
      </c>
      <c r="D19" s="11" t="str">
        <f>"0,5224"</f>
        <v>0,5224</v>
      </c>
      <c r="E19" s="11" t="s">
        <v>163</v>
      </c>
      <c r="F19" s="11" t="s">
        <v>613</v>
      </c>
      <c r="G19" s="12" t="s">
        <v>639</v>
      </c>
      <c r="H19" s="13" t="s">
        <v>640</v>
      </c>
      <c r="I19" s="12" t="s">
        <v>640</v>
      </c>
      <c r="J19" s="13"/>
      <c r="K19" s="12" t="s">
        <v>557</v>
      </c>
      <c r="L19" s="13" t="s">
        <v>490</v>
      </c>
      <c r="M19" s="13" t="s">
        <v>490</v>
      </c>
      <c r="N19" s="13"/>
      <c r="O19" s="12" t="s">
        <v>641</v>
      </c>
      <c r="P19" s="12" t="s">
        <v>639</v>
      </c>
      <c r="Q19" s="13"/>
      <c r="R19" s="13"/>
      <c r="S19" s="11" t="s">
        <v>642</v>
      </c>
      <c r="T19" s="12" t="str">
        <f>"417,9200"</f>
        <v>417,9200</v>
      </c>
      <c r="U19" s="11" t="s">
        <v>90</v>
      </c>
    </row>
    <row r="21" ht="15">
      <c r="E21" s="15" t="s">
        <v>76</v>
      </c>
    </row>
    <row r="22" ht="15">
      <c r="E22" s="15" t="s">
        <v>77</v>
      </c>
    </row>
    <row r="23" ht="15">
      <c r="E23" s="15" t="s">
        <v>78</v>
      </c>
    </row>
    <row r="24" ht="15">
      <c r="E24" s="15" t="s">
        <v>79</v>
      </c>
    </row>
    <row r="25" ht="15">
      <c r="E25" s="15" t="s">
        <v>79</v>
      </c>
    </row>
    <row r="26" ht="15">
      <c r="E26" s="15" t="s">
        <v>80</v>
      </c>
    </row>
    <row r="27" ht="15">
      <c r="E27" s="15"/>
    </row>
    <row r="29" spans="1:2" ht="18">
      <c r="A29" s="16" t="s">
        <v>37</v>
      </c>
      <c r="B29" s="16"/>
    </row>
    <row r="30" spans="1:2" ht="15">
      <c r="A30" s="23" t="s">
        <v>96</v>
      </c>
      <c r="B30" s="23"/>
    </row>
    <row r="31" spans="1:2" ht="14.25">
      <c r="A31" s="24"/>
      <c r="B31" s="25" t="s">
        <v>213</v>
      </c>
    </row>
    <row r="32" spans="1:5" ht="15">
      <c r="A32" s="26" t="s">
        <v>98</v>
      </c>
      <c r="B32" s="26" t="s">
        <v>99</v>
      </c>
      <c r="C32" s="26" t="s">
        <v>100</v>
      </c>
      <c r="D32" s="26" t="s">
        <v>101</v>
      </c>
      <c r="E32" s="26" t="s">
        <v>172</v>
      </c>
    </row>
    <row r="33" spans="1:5" ht="12.75">
      <c r="A33" s="27" t="s">
        <v>643</v>
      </c>
      <c r="B33" s="1" t="s">
        <v>644</v>
      </c>
      <c r="C33" s="1" t="s">
        <v>174</v>
      </c>
      <c r="D33" s="1" t="s">
        <v>645</v>
      </c>
      <c r="E33" s="28" t="s">
        <v>646</v>
      </c>
    </row>
    <row r="34" spans="1:5" ht="12.75">
      <c r="A34" s="27" t="s">
        <v>647</v>
      </c>
      <c r="B34" s="1" t="s">
        <v>214</v>
      </c>
      <c r="C34" s="1" t="s">
        <v>73</v>
      </c>
      <c r="D34" s="1" t="s">
        <v>648</v>
      </c>
      <c r="E34" s="28" t="s">
        <v>649</v>
      </c>
    </row>
    <row r="36" spans="1:2" ht="14.25">
      <c r="A36" s="24"/>
      <c r="B36" s="25" t="s">
        <v>97</v>
      </c>
    </row>
    <row r="37" spans="1:5" ht="15">
      <c r="A37" s="26" t="s">
        <v>98</v>
      </c>
      <c r="B37" s="26" t="s">
        <v>99</v>
      </c>
      <c r="C37" s="26" t="s">
        <v>100</v>
      </c>
      <c r="D37" s="26" t="s">
        <v>101</v>
      </c>
      <c r="E37" s="26" t="s">
        <v>172</v>
      </c>
    </row>
    <row r="38" spans="1:5" ht="12.75">
      <c r="A38" s="27" t="s">
        <v>650</v>
      </c>
      <c r="B38" s="1" t="s">
        <v>97</v>
      </c>
      <c r="C38" s="1" t="s">
        <v>322</v>
      </c>
      <c r="D38" s="1" t="s">
        <v>651</v>
      </c>
      <c r="E38" s="28" t="s">
        <v>652</v>
      </c>
    </row>
    <row r="39" spans="1:5" ht="12.75">
      <c r="A39" s="27" t="s">
        <v>653</v>
      </c>
      <c r="B39" s="1" t="s">
        <v>97</v>
      </c>
      <c r="C39" s="1" t="s">
        <v>57</v>
      </c>
      <c r="D39" s="1" t="s">
        <v>654</v>
      </c>
      <c r="E39" s="28" t="s">
        <v>655</v>
      </c>
    </row>
    <row r="41" spans="1:2" ht="14.25">
      <c r="A41" s="24"/>
      <c r="B41" s="25" t="s">
        <v>107</v>
      </c>
    </row>
    <row r="42" spans="1:5" ht="15">
      <c r="A42" s="26" t="s">
        <v>98</v>
      </c>
      <c r="B42" s="26" t="s">
        <v>99</v>
      </c>
      <c r="C42" s="26" t="s">
        <v>100</v>
      </c>
      <c r="D42" s="26" t="s">
        <v>101</v>
      </c>
      <c r="E42" s="26" t="s">
        <v>172</v>
      </c>
    </row>
    <row r="43" spans="1:5" ht="12.75">
      <c r="A43" s="27" t="s">
        <v>656</v>
      </c>
      <c r="B43" s="1" t="s">
        <v>131</v>
      </c>
      <c r="C43" s="1" t="s">
        <v>215</v>
      </c>
      <c r="D43" s="1" t="s">
        <v>657</v>
      </c>
      <c r="E43" s="28" t="s">
        <v>658</v>
      </c>
    </row>
    <row r="44" spans="1:5" ht="12.75">
      <c r="A44" s="27" t="s">
        <v>659</v>
      </c>
      <c r="B44" s="1" t="s">
        <v>142</v>
      </c>
      <c r="C44" s="1" t="s">
        <v>73</v>
      </c>
      <c r="D44" s="1" t="s">
        <v>660</v>
      </c>
      <c r="E44" s="28" t="s">
        <v>661</v>
      </c>
    </row>
  </sheetData>
  <sheetProtection selectLockedCells="1" selectUnlockedCells="1"/>
  <mergeCells count="18">
    <mergeCell ref="A15:T15"/>
    <mergeCell ref="A18:T18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5">
      <selection activeCell="A29" sqref="A29"/>
    </sheetView>
  </sheetViews>
  <sheetFormatPr defaultColWidth="9.125" defaultRowHeight="12.75"/>
  <cols>
    <col min="1" max="1" width="26.00390625" style="1" customWidth="1"/>
    <col min="2" max="2" width="29.00390625" style="1" customWidth="1"/>
    <col min="3" max="3" width="10.625" style="1" customWidth="1"/>
    <col min="4" max="4" width="9.25390625" style="1" customWidth="1"/>
    <col min="5" max="5" width="22.75390625" style="1" customWidth="1"/>
    <col min="6" max="6" width="38.75390625" style="1" customWidth="1"/>
    <col min="7" max="9" width="6.875" style="3" customWidth="1"/>
    <col min="10" max="10" width="4.875" style="3" customWidth="1"/>
    <col min="11" max="13" width="6.875" style="3" customWidth="1"/>
    <col min="14" max="14" width="4.875" style="3" customWidth="1"/>
    <col min="15" max="17" width="6.875" style="3" customWidth="1"/>
    <col min="18" max="18" width="4.875" style="3" customWidth="1"/>
    <col min="19" max="19" width="7.875" style="1" customWidth="1"/>
    <col min="20" max="20" width="8.625" style="3" customWidth="1"/>
    <col min="21" max="21" width="12.875" style="1" customWidth="1"/>
    <col min="22" max="16384" width="9.125" style="3" customWidth="1"/>
  </cols>
  <sheetData>
    <row r="1" spans="1:21" s="5" customFormat="1" ht="28.5" customHeight="1">
      <c r="A1" s="42" t="s">
        <v>662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6" customFormat="1" ht="12.75" customHeight="1">
      <c r="A3" s="36" t="s">
        <v>0</v>
      </c>
      <c r="B3" s="37" t="s">
        <v>1</v>
      </c>
      <c r="C3" s="37" t="s">
        <v>2</v>
      </c>
      <c r="D3" s="39" t="s">
        <v>156</v>
      </c>
      <c r="E3" s="39" t="s">
        <v>4</v>
      </c>
      <c r="F3" s="39" t="s">
        <v>5</v>
      </c>
      <c r="G3" s="40" t="s">
        <v>274</v>
      </c>
      <c r="H3" s="40"/>
      <c r="I3" s="40"/>
      <c r="J3" s="40"/>
      <c r="K3" s="40" t="s">
        <v>443</v>
      </c>
      <c r="L3" s="40"/>
      <c r="M3" s="40"/>
      <c r="N3" s="40"/>
      <c r="O3" s="40" t="s">
        <v>331</v>
      </c>
      <c r="P3" s="40"/>
      <c r="Q3" s="40"/>
      <c r="R3" s="40"/>
      <c r="S3" s="39" t="s">
        <v>9</v>
      </c>
      <c r="T3" s="39" t="s">
        <v>10</v>
      </c>
      <c r="U3" s="41" t="s">
        <v>11</v>
      </c>
    </row>
    <row r="4" spans="1:21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39"/>
      <c r="T4" s="39"/>
      <c r="U4" s="41"/>
    </row>
    <row r="5" spans="1:20" ht="15">
      <c r="A5" s="43" t="s">
        <v>260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1" ht="12.75">
      <c r="A6" s="11" t="s">
        <v>663</v>
      </c>
      <c r="B6" s="11" t="s">
        <v>664</v>
      </c>
      <c r="C6" s="11" t="s">
        <v>299</v>
      </c>
      <c r="D6" s="11" t="str">
        <f>"0,9693"</f>
        <v>0,9693</v>
      </c>
      <c r="E6" s="11" t="s">
        <v>665</v>
      </c>
      <c r="F6" s="11" t="s">
        <v>197</v>
      </c>
      <c r="G6" s="12" t="s">
        <v>614</v>
      </c>
      <c r="H6" s="13" t="s">
        <v>347</v>
      </c>
      <c r="I6" s="13" t="s">
        <v>347</v>
      </c>
      <c r="J6" s="13"/>
      <c r="K6" s="12" t="s">
        <v>203</v>
      </c>
      <c r="L6" s="13" t="s">
        <v>186</v>
      </c>
      <c r="M6" s="13" t="s">
        <v>186</v>
      </c>
      <c r="N6" s="13"/>
      <c r="O6" s="12" t="s">
        <v>367</v>
      </c>
      <c r="P6" s="13" t="s">
        <v>236</v>
      </c>
      <c r="Q6" s="13" t="s">
        <v>236</v>
      </c>
      <c r="R6" s="13"/>
      <c r="S6" s="11" t="str">
        <f>"237,5"</f>
        <v>237,5</v>
      </c>
      <c r="T6" s="12" t="str">
        <f>"237,1272"</f>
        <v>237,1272</v>
      </c>
      <c r="U6" s="11" t="s">
        <v>187</v>
      </c>
    </row>
    <row r="8" spans="1:20" ht="15">
      <c r="A8" s="44" t="s">
        <v>180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1" ht="12.75">
      <c r="A9" s="8" t="s">
        <v>666</v>
      </c>
      <c r="B9" s="8" t="s">
        <v>667</v>
      </c>
      <c r="C9" s="8" t="s">
        <v>668</v>
      </c>
      <c r="D9" s="8" t="str">
        <f>"0,8330"</f>
        <v>0,8330</v>
      </c>
      <c r="E9" s="8" t="s">
        <v>19</v>
      </c>
      <c r="F9" s="8" t="s">
        <v>20</v>
      </c>
      <c r="G9" s="9" t="s">
        <v>669</v>
      </c>
      <c r="H9" s="10" t="s">
        <v>407</v>
      </c>
      <c r="I9" s="9" t="s">
        <v>346</v>
      </c>
      <c r="J9" s="10"/>
      <c r="K9" s="10" t="s">
        <v>670</v>
      </c>
      <c r="L9" s="9" t="s">
        <v>670</v>
      </c>
      <c r="M9" s="9" t="s">
        <v>606</v>
      </c>
      <c r="N9" s="10"/>
      <c r="O9" s="9" t="s">
        <v>120</v>
      </c>
      <c r="P9" s="9" t="s">
        <v>514</v>
      </c>
      <c r="Q9" s="9" t="s">
        <v>237</v>
      </c>
      <c r="R9" s="10"/>
      <c r="S9" s="8" t="s">
        <v>671</v>
      </c>
      <c r="T9" s="9" t="str">
        <f>"285,0526"</f>
        <v>285,0526</v>
      </c>
      <c r="U9" s="8" t="s">
        <v>672</v>
      </c>
    </row>
    <row r="10" spans="1:21" ht="12.75">
      <c r="A10" s="20" t="s">
        <v>181</v>
      </c>
      <c r="B10" s="20" t="s">
        <v>182</v>
      </c>
      <c r="C10" s="20" t="s">
        <v>183</v>
      </c>
      <c r="D10" s="20" t="str">
        <f>"0,8199"</f>
        <v>0,8199</v>
      </c>
      <c r="E10" s="20" t="s">
        <v>19</v>
      </c>
      <c r="F10" s="20" t="s">
        <v>184</v>
      </c>
      <c r="G10" s="21" t="s">
        <v>212</v>
      </c>
      <c r="H10" s="30" t="s">
        <v>673</v>
      </c>
      <c r="I10" s="21" t="s">
        <v>673</v>
      </c>
      <c r="J10" s="30"/>
      <c r="K10" s="21" t="s">
        <v>618</v>
      </c>
      <c r="L10" s="21" t="s">
        <v>211</v>
      </c>
      <c r="M10" s="30" t="s">
        <v>308</v>
      </c>
      <c r="N10" s="30"/>
      <c r="O10" s="21" t="s">
        <v>120</v>
      </c>
      <c r="P10" s="30" t="s">
        <v>236</v>
      </c>
      <c r="Q10" s="21" t="s">
        <v>236</v>
      </c>
      <c r="R10" s="30"/>
      <c r="S10" s="20" t="str">
        <f>"282,5"</f>
        <v>282,5</v>
      </c>
      <c r="T10" s="21" t="str">
        <f>"236,2542"</f>
        <v>236,2542</v>
      </c>
      <c r="U10" s="20" t="s">
        <v>187</v>
      </c>
    </row>
    <row r="12" spans="1:20" ht="15">
      <c r="A12" s="44" t="s">
        <v>189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</row>
    <row r="13" spans="1:21" ht="12.75">
      <c r="A13" s="8" t="s">
        <v>674</v>
      </c>
      <c r="B13" s="8" t="s">
        <v>675</v>
      </c>
      <c r="C13" s="8" t="s">
        <v>676</v>
      </c>
      <c r="D13" s="8" t="str">
        <f>"0,6752"</f>
        <v>0,6752</v>
      </c>
      <c r="E13" s="8" t="s">
        <v>19</v>
      </c>
      <c r="F13" s="8" t="s">
        <v>677</v>
      </c>
      <c r="G13" s="9" t="s">
        <v>355</v>
      </c>
      <c r="H13" s="9" t="s">
        <v>678</v>
      </c>
      <c r="I13" s="9" t="s">
        <v>515</v>
      </c>
      <c r="J13" s="10"/>
      <c r="K13" s="10" t="s">
        <v>347</v>
      </c>
      <c r="L13" s="9" t="s">
        <v>679</v>
      </c>
      <c r="M13" s="9" t="s">
        <v>120</v>
      </c>
      <c r="N13" s="10"/>
      <c r="O13" s="9" t="s">
        <v>516</v>
      </c>
      <c r="P13" s="9" t="s">
        <v>480</v>
      </c>
      <c r="Q13" s="9" t="s">
        <v>448</v>
      </c>
      <c r="R13" s="10"/>
      <c r="S13" s="8" t="s">
        <v>680</v>
      </c>
      <c r="T13" s="9" t="str">
        <f>"306,2707"</f>
        <v>306,2707</v>
      </c>
      <c r="U13" s="8" t="s">
        <v>90</v>
      </c>
    </row>
    <row r="14" spans="1:21" ht="12.75">
      <c r="A14" s="20" t="s">
        <v>681</v>
      </c>
      <c r="B14" s="20" t="s">
        <v>682</v>
      </c>
      <c r="C14" s="20" t="s">
        <v>683</v>
      </c>
      <c r="D14" s="20" t="str">
        <f>"0,6694"</f>
        <v>0,6694</v>
      </c>
      <c r="E14" s="20" t="s">
        <v>19</v>
      </c>
      <c r="F14" s="20" t="s">
        <v>20</v>
      </c>
      <c r="G14" s="21" t="s">
        <v>562</v>
      </c>
      <c r="H14" s="21" t="s">
        <v>350</v>
      </c>
      <c r="I14" s="30" t="s">
        <v>240</v>
      </c>
      <c r="J14" s="30"/>
      <c r="K14" s="30" t="s">
        <v>307</v>
      </c>
      <c r="L14" s="21" t="s">
        <v>212</v>
      </c>
      <c r="M14" s="21" t="s">
        <v>308</v>
      </c>
      <c r="N14" s="30"/>
      <c r="O14" s="21" t="s">
        <v>562</v>
      </c>
      <c r="P14" s="21" t="s">
        <v>240</v>
      </c>
      <c r="Q14" s="21" t="s">
        <v>399</v>
      </c>
      <c r="R14" s="30"/>
      <c r="S14" s="20" t="str">
        <f>"345,0"</f>
        <v>345,0</v>
      </c>
      <c r="T14" s="21" t="str">
        <f>"260,9656"</f>
        <v>260,9656</v>
      </c>
      <c r="U14" s="20" t="s">
        <v>266</v>
      </c>
    </row>
    <row r="16" spans="1:20" ht="15">
      <c r="A16" s="44" t="s">
        <v>193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1:21" ht="12.75">
      <c r="A17" s="8" t="s">
        <v>684</v>
      </c>
      <c r="B17" s="8" t="s">
        <v>685</v>
      </c>
      <c r="C17" s="8" t="s">
        <v>686</v>
      </c>
      <c r="D17" s="8" t="str">
        <f>"0,6268"</f>
        <v>0,6268</v>
      </c>
      <c r="E17" s="8" t="s">
        <v>19</v>
      </c>
      <c r="F17" s="8" t="s">
        <v>20</v>
      </c>
      <c r="G17" s="10" t="s">
        <v>240</v>
      </c>
      <c r="H17" s="9" t="s">
        <v>355</v>
      </c>
      <c r="I17" s="9" t="s">
        <v>516</v>
      </c>
      <c r="J17" s="10"/>
      <c r="K17" s="9" t="s">
        <v>606</v>
      </c>
      <c r="L17" s="9" t="s">
        <v>308</v>
      </c>
      <c r="M17" s="9" t="s">
        <v>346</v>
      </c>
      <c r="N17" s="10"/>
      <c r="O17" s="9" t="s">
        <v>687</v>
      </c>
      <c r="P17" s="9" t="s">
        <v>448</v>
      </c>
      <c r="Q17" s="9" t="s">
        <v>450</v>
      </c>
      <c r="R17" s="10"/>
      <c r="S17" s="8" t="s">
        <v>688</v>
      </c>
      <c r="T17" s="9" t="str">
        <f>"291,0859"</f>
        <v>291,0859</v>
      </c>
      <c r="U17" s="8" t="s">
        <v>266</v>
      </c>
    </row>
    <row r="18" spans="1:21" ht="12.75">
      <c r="A18" s="20" t="s">
        <v>689</v>
      </c>
      <c r="B18" s="20" t="s">
        <v>690</v>
      </c>
      <c r="C18" s="20" t="s">
        <v>691</v>
      </c>
      <c r="D18" s="20" t="str">
        <f>"0,6486"</f>
        <v>0,6486</v>
      </c>
      <c r="E18" s="20" t="s">
        <v>19</v>
      </c>
      <c r="F18" s="20" t="s">
        <v>692</v>
      </c>
      <c r="G18" s="21" t="s">
        <v>355</v>
      </c>
      <c r="H18" s="21" t="s">
        <v>515</v>
      </c>
      <c r="I18" s="30" t="s">
        <v>693</v>
      </c>
      <c r="J18" s="30"/>
      <c r="K18" s="21" t="s">
        <v>120</v>
      </c>
      <c r="L18" s="30" t="s">
        <v>694</v>
      </c>
      <c r="M18" s="30" t="s">
        <v>694</v>
      </c>
      <c r="N18" s="30"/>
      <c r="O18" s="21" t="s">
        <v>356</v>
      </c>
      <c r="P18" s="21" t="s">
        <v>516</v>
      </c>
      <c r="Q18" s="30" t="s">
        <v>595</v>
      </c>
      <c r="R18" s="30"/>
      <c r="S18" s="20" t="s">
        <v>695</v>
      </c>
      <c r="T18" s="21" t="str">
        <f>"265,3098"</f>
        <v>265,3098</v>
      </c>
      <c r="U18" s="20" t="s">
        <v>90</v>
      </c>
    </row>
    <row r="20" spans="1:20" ht="15">
      <c r="A20" s="44" t="s">
        <v>368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1:21" ht="12.75">
      <c r="A21" s="8" t="s">
        <v>392</v>
      </c>
      <c r="B21" s="8" t="s">
        <v>393</v>
      </c>
      <c r="C21" s="8" t="s">
        <v>138</v>
      </c>
      <c r="D21" s="8" t="str">
        <f>"0,5889"</f>
        <v>0,5889</v>
      </c>
      <c r="E21" s="8" t="s">
        <v>19</v>
      </c>
      <c r="F21" s="8" t="s">
        <v>394</v>
      </c>
      <c r="G21" s="9" t="s">
        <v>313</v>
      </c>
      <c r="H21" s="9" t="s">
        <v>696</v>
      </c>
      <c r="I21" s="10" t="s">
        <v>23</v>
      </c>
      <c r="J21" s="10"/>
      <c r="K21" s="9" t="s">
        <v>515</v>
      </c>
      <c r="L21" s="9" t="s">
        <v>516</v>
      </c>
      <c r="M21" s="9" t="s">
        <v>517</v>
      </c>
      <c r="N21" s="10"/>
      <c r="O21" s="9" t="s">
        <v>697</v>
      </c>
      <c r="P21" s="10" t="s">
        <v>396</v>
      </c>
      <c r="Q21" s="10" t="s">
        <v>279</v>
      </c>
      <c r="R21" s="10"/>
      <c r="S21" s="8" t="s">
        <v>698</v>
      </c>
      <c r="T21" s="9" t="str">
        <f>"345,9788"</f>
        <v>345,9788</v>
      </c>
      <c r="U21" s="8" t="s">
        <v>90</v>
      </c>
    </row>
    <row r="22" spans="1:21" ht="12.75">
      <c r="A22" s="20" t="s">
        <v>699</v>
      </c>
      <c r="B22" s="20" t="s">
        <v>700</v>
      </c>
      <c r="C22" s="20" t="s">
        <v>701</v>
      </c>
      <c r="D22" s="20" t="str">
        <f>"0,6045"</f>
        <v>0,6045</v>
      </c>
      <c r="E22" s="20" t="s">
        <v>19</v>
      </c>
      <c r="F22" s="20" t="s">
        <v>468</v>
      </c>
      <c r="G22" s="21" t="s">
        <v>314</v>
      </c>
      <c r="H22" s="30" t="s">
        <v>702</v>
      </c>
      <c r="I22" s="21" t="s">
        <v>702</v>
      </c>
      <c r="J22" s="30"/>
      <c r="K22" s="21" t="s">
        <v>355</v>
      </c>
      <c r="L22" s="30" t="s">
        <v>410</v>
      </c>
      <c r="M22" s="30"/>
      <c r="N22" s="30"/>
      <c r="O22" s="30" t="s">
        <v>278</v>
      </c>
      <c r="P22" s="30" t="s">
        <v>278</v>
      </c>
      <c r="Q22" s="30" t="s">
        <v>278</v>
      </c>
      <c r="R22" s="30"/>
      <c r="S22" s="20" t="str">
        <f>"0.00"</f>
        <v>0.00</v>
      </c>
      <c r="T22" s="21" t="str">
        <f>"0,0000"</f>
        <v>0,0000</v>
      </c>
      <c r="U22" s="20" t="s">
        <v>90</v>
      </c>
    </row>
    <row r="24" spans="1:20" ht="15">
      <c r="A24" s="44" t="s">
        <v>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1" ht="12.75">
      <c r="A25" s="8" t="s">
        <v>703</v>
      </c>
      <c r="B25" s="8" t="s">
        <v>704</v>
      </c>
      <c r="C25" s="8" t="s">
        <v>705</v>
      </c>
      <c r="D25" s="8" t="str">
        <f>"0,5597"</f>
        <v>0,5597</v>
      </c>
      <c r="E25" s="8" t="s">
        <v>19</v>
      </c>
      <c r="F25" s="8" t="s">
        <v>20</v>
      </c>
      <c r="G25" s="9" t="s">
        <v>237</v>
      </c>
      <c r="H25" s="9" t="s">
        <v>355</v>
      </c>
      <c r="I25" s="10" t="s">
        <v>521</v>
      </c>
      <c r="J25" s="10"/>
      <c r="K25" s="9" t="s">
        <v>346</v>
      </c>
      <c r="L25" s="9" t="s">
        <v>120</v>
      </c>
      <c r="M25" s="10" t="s">
        <v>694</v>
      </c>
      <c r="N25" s="10"/>
      <c r="O25" s="9" t="s">
        <v>687</v>
      </c>
      <c r="P25" s="9" t="s">
        <v>632</v>
      </c>
      <c r="Q25" s="9" t="s">
        <v>450</v>
      </c>
      <c r="R25" s="10"/>
      <c r="S25" s="8" t="s">
        <v>706</v>
      </c>
      <c r="T25" s="9" t="str">
        <f>"268,7959"</f>
        <v>268,7959</v>
      </c>
      <c r="U25" s="8" t="s">
        <v>266</v>
      </c>
    </row>
    <row r="26" spans="1:21" ht="12.75">
      <c r="A26" s="20" t="s">
        <v>207</v>
      </c>
      <c r="B26" s="20" t="s">
        <v>208</v>
      </c>
      <c r="C26" s="20" t="s">
        <v>209</v>
      </c>
      <c r="D26" s="20" t="str">
        <f>"0,5563"</f>
        <v>0,5563</v>
      </c>
      <c r="E26" s="20" t="s">
        <v>19</v>
      </c>
      <c r="F26" s="20" t="s">
        <v>46</v>
      </c>
      <c r="G26" s="30" t="s">
        <v>23</v>
      </c>
      <c r="H26" s="21" t="s">
        <v>315</v>
      </c>
      <c r="I26" s="30" t="s">
        <v>702</v>
      </c>
      <c r="J26" s="30"/>
      <c r="K26" s="21" t="s">
        <v>399</v>
      </c>
      <c r="L26" s="21" t="s">
        <v>410</v>
      </c>
      <c r="M26" s="30" t="s">
        <v>521</v>
      </c>
      <c r="N26" s="30"/>
      <c r="O26" s="21" t="s">
        <v>337</v>
      </c>
      <c r="P26" s="21" t="s">
        <v>280</v>
      </c>
      <c r="Q26" s="21" t="s">
        <v>338</v>
      </c>
      <c r="R26" s="30"/>
      <c r="S26" s="20" t="s">
        <v>707</v>
      </c>
      <c r="T26" s="21" t="str">
        <f>"344,9060"</f>
        <v>344,9060</v>
      </c>
      <c r="U26" s="20" t="s">
        <v>90</v>
      </c>
    </row>
    <row r="28" ht="15">
      <c r="E28" s="15" t="s">
        <v>76</v>
      </c>
    </row>
    <row r="29" ht="15">
      <c r="E29" s="15" t="s">
        <v>77</v>
      </c>
    </row>
    <row r="30" ht="15">
      <c r="E30" s="15" t="s">
        <v>78</v>
      </c>
    </row>
    <row r="31" ht="15">
      <c r="E31" s="15" t="s">
        <v>79</v>
      </c>
    </row>
    <row r="32" ht="15">
      <c r="E32" s="15" t="s">
        <v>79</v>
      </c>
    </row>
    <row r="33" ht="15">
      <c r="E33" s="15" t="s">
        <v>80</v>
      </c>
    </row>
    <row r="34" ht="15">
      <c r="E34" s="15"/>
    </row>
    <row r="36" spans="1:2" ht="18">
      <c r="A36" s="16" t="s">
        <v>37</v>
      </c>
      <c r="B36" s="16"/>
    </row>
    <row r="37" spans="1:2" ht="15">
      <c r="A37" s="23" t="s">
        <v>150</v>
      </c>
      <c r="B37" s="23"/>
    </row>
    <row r="38" spans="1:2" ht="14.25">
      <c r="A38" s="24"/>
      <c r="B38" s="25" t="s">
        <v>267</v>
      </c>
    </row>
    <row r="39" spans="1:5" ht="15">
      <c r="A39" s="26" t="s">
        <v>98</v>
      </c>
      <c r="B39" s="26" t="s">
        <v>99</v>
      </c>
      <c r="C39" s="26" t="s">
        <v>100</v>
      </c>
      <c r="D39" s="26" t="s">
        <v>101</v>
      </c>
      <c r="E39" s="26" t="s">
        <v>172</v>
      </c>
    </row>
    <row r="40" spans="1:5" ht="12.75">
      <c r="A40" s="27" t="s">
        <v>708</v>
      </c>
      <c r="B40" s="1" t="s">
        <v>221</v>
      </c>
      <c r="C40" s="1" t="s">
        <v>45</v>
      </c>
      <c r="D40" s="1" t="s">
        <v>423</v>
      </c>
      <c r="E40" s="28" t="s">
        <v>709</v>
      </c>
    </row>
    <row r="43" spans="1:2" ht="15">
      <c r="A43" s="23" t="s">
        <v>96</v>
      </c>
      <c r="B43" s="23"/>
    </row>
    <row r="44" spans="1:2" ht="14.25">
      <c r="A44" s="24"/>
      <c r="B44" s="25" t="s">
        <v>213</v>
      </c>
    </row>
    <row r="45" spans="1:5" ht="15">
      <c r="A45" s="26" t="s">
        <v>98</v>
      </c>
      <c r="B45" s="26" t="s">
        <v>99</v>
      </c>
      <c r="C45" s="26" t="s">
        <v>100</v>
      </c>
      <c r="D45" s="26" t="s">
        <v>101</v>
      </c>
      <c r="E45" s="26" t="s">
        <v>172</v>
      </c>
    </row>
    <row r="46" spans="1:5" ht="12.75">
      <c r="A46" s="27" t="s">
        <v>710</v>
      </c>
      <c r="B46" s="1" t="s">
        <v>488</v>
      </c>
      <c r="C46" s="1" t="s">
        <v>217</v>
      </c>
      <c r="D46" s="1" t="s">
        <v>711</v>
      </c>
      <c r="E46" s="28" t="s">
        <v>712</v>
      </c>
    </row>
    <row r="47" spans="1:5" ht="12.75">
      <c r="A47" s="27" t="s">
        <v>713</v>
      </c>
      <c r="B47" s="1" t="s">
        <v>488</v>
      </c>
      <c r="C47" s="1" t="s">
        <v>215</v>
      </c>
      <c r="D47" s="1" t="s">
        <v>714</v>
      </c>
      <c r="E47" s="28" t="s">
        <v>715</v>
      </c>
    </row>
    <row r="48" spans="1:5" ht="12.75">
      <c r="A48" s="27" t="s">
        <v>716</v>
      </c>
      <c r="B48" s="1" t="s">
        <v>644</v>
      </c>
      <c r="C48" s="1" t="s">
        <v>222</v>
      </c>
      <c r="D48" s="1" t="s">
        <v>641</v>
      </c>
      <c r="E48" s="28" t="s">
        <v>717</v>
      </c>
    </row>
    <row r="49" spans="1:5" ht="12.75">
      <c r="A49" s="27" t="s">
        <v>718</v>
      </c>
      <c r="B49" s="1" t="s">
        <v>488</v>
      </c>
      <c r="C49" s="1" t="s">
        <v>57</v>
      </c>
      <c r="D49" s="1" t="s">
        <v>719</v>
      </c>
      <c r="E49" s="28" t="s">
        <v>720</v>
      </c>
    </row>
    <row r="50" spans="1:5" ht="12.75">
      <c r="A50" s="27" t="s">
        <v>721</v>
      </c>
      <c r="B50" s="1" t="s">
        <v>488</v>
      </c>
      <c r="C50" s="1" t="s">
        <v>217</v>
      </c>
      <c r="D50" s="1" t="s">
        <v>722</v>
      </c>
      <c r="E50" s="28" t="s">
        <v>723</v>
      </c>
    </row>
    <row r="52" spans="1:2" ht="14.25">
      <c r="A52" s="24"/>
      <c r="B52" s="25" t="s">
        <v>219</v>
      </c>
    </row>
    <row r="53" spans="1:5" ht="15">
      <c r="A53" s="26" t="s">
        <v>98</v>
      </c>
      <c r="B53" s="26" t="s">
        <v>99</v>
      </c>
      <c r="C53" s="26" t="s">
        <v>100</v>
      </c>
      <c r="D53" s="26" t="s">
        <v>101</v>
      </c>
      <c r="E53" s="26" t="s">
        <v>172</v>
      </c>
    </row>
    <row r="54" spans="1:5" ht="12.75">
      <c r="A54" s="27" t="s">
        <v>724</v>
      </c>
      <c r="B54" s="1" t="s">
        <v>221</v>
      </c>
      <c r="C54" s="1" t="s">
        <v>215</v>
      </c>
      <c r="D54" s="1" t="s">
        <v>725</v>
      </c>
      <c r="E54" s="28" t="s">
        <v>726</v>
      </c>
    </row>
    <row r="55" spans="1:5" ht="12.75">
      <c r="A55" s="27" t="s">
        <v>220</v>
      </c>
      <c r="B55" s="1" t="s">
        <v>221</v>
      </c>
      <c r="C55" s="1" t="s">
        <v>222</v>
      </c>
      <c r="D55" s="1" t="s">
        <v>385</v>
      </c>
      <c r="E55" s="28" t="s">
        <v>727</v>
      </c>
    </row>
    <row r="57" spans="1:2" ht="14.25">
      <c r="A57" s="24"/>
      <c r="B57" s="25" t="s">
        <v>97</v>
      </c>
    </row>
    <row r="58" spans="1:5" ht="15">
      <c r="A58" s="26" t="s">
        <v>98</v>
      </c>
      <c r="B58" s="26" t="s">
        <v>99</v>
      </c>
      <c r="C58" s="26" t="s">
        <v>100</v>
      </c>
      <c r="D58" s="26" t="s">
        <v>101</v>
      </c>
      <c r="E58" s="26" t="s">
        <v>172</v>
      </c>
    </row>
    <row r="59" spans="1:5" ht="12.75">
      <c r="A59" s="27" t="s">
        <v>430</v>
      </c>
      <c r="B59" s="1" t="s">
        <v>97</v>
      </c>
      <c r="C59" s="1" t="s">
        <v>73</v>
      </c>
      <c r="D59" s="1" t="s">
        <v>728</v>
      </c>
      <c r="E59" s="28" t="s">
        <v>729</v>
      </c>
    </row>
    <row r="60" spans="1:5" ht="12.75">
      <c r="A60" s="27" t="s">
        <v>224</v>
      </c>
      <c r="B60" s="1" t="s">
        <v>97</v>
      </c>
      <c r="C60" s="1" t="s">
        <v>57</v>
      </c>
      <c r="D60" s="1" t="s">
        <v>730</v>
      </c>
      <c r="E60" s="28" t="s">
        <v>731</v>
      </c>
    </row>
  </sheetData>
  <sheetProtection selectLockedCells="1" selectUnlockedCells="1"/>
  <mergeCells count="19">
    <mergeCell ref="A16:T16"/>
    <mergeCell ref="A20:T20"/>
    <mergeCell ref="A24:T24"/>
    <mergeCell ref="S3:S4"/>
    <mergeCell ref="T3:T4"/>
    <mergeCell ref="U3:U4"/>
    <mergeCell ref="A5:T5"/>
    <mergeCell ref="A8:T8"/>
    <mergeCell ref="A12:T1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3" width="2.125" style="3" customWidth="1"/>
    <col min="14" max="14" width="4.875" style="3" customWidth="1"/>
    <col min="15" max="17" width="2.125" style="3" customWidth="1"/>
    <col min="18" max="18" width="4.875" style="3" customWidth="1"/>
    <col min="19" max="19" width="7.875" style="1" customWidth="1"/>
    <col min="20" max="20" width="6.375" style="3" customWidth="1"/>
    <col min="21" max="21" width="8.875" style="1" customWidth="1"/>
    <col min="22" max="16384" width="9.125" style="3" customWidth="1"/>
  </cols>
  <sheetData>
    <row r="1" spans="1:21" s="5" customFormat="1" ht="28.5" customHeight="1">
      <c r="A1" s="42" t="s">
        <v>732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6</v>
      </c>
      <c r="H3" s="40"/>
      <c r="I3" s="40"/>
      <c r="J3" s="40"/>
      <c r="K3" s="40" t="s">
        <v>7</v>
      </c>
      <c r="L3" s="40"/>
      <c r="M3" s="40"/>
      <c r="N3" s="40"/>
      <c r="O3" s="40" t="s">
        <v>8</v>
      </c>
      <c r="P3" s="40"/>
      <c r="Q3" s="40"/>
      <c r="R3" s="40"/>
      <c r="S3" s="39" t="s">
        <v>9</v>
      </c>
      <c r="T3" s="39" t="s">
        <v>10</v>
      </c>
      <c r="U3" s="41" t="s">
        <v>11</v>
      </c>
    </row>
    <row r="4" spans="1:21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39"/>
      <c r="T4" s="39"/>
      <c r="U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3" width="2.125" style="3" customWidth="1"/>
    <col min="14" max="14" width="4.875" style="3" customWidth="1"/>
    <col min="15" max="17" width="2.125" style="3" customWidth="1"/>
    <col min="18" max="18" width="4.875" style="3" customWidth="1"/>
    <col min="19" max="19" width="7.875" style="1" customWidth="1"/>
    <col min="20" max="20" width="6.375" style="3" customWidth="1"/>
    <col min="21" max="21" width="8.875" style="1" customWidth="1"/>
    <col min="22" max="16384" width="9.125" style="3" customWidth="1"/>
  </cols>
  <sheetData>
    <row r="1" spans="1:21" s="5" customFormat="1" ht="28.5" customHeight="1">
      <c r="A1" s="42" t="s">
        <v>733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6</v>
      </c>
      <c r="H3" s="40"/>
      <c r="I3" s="40"/>
      <c r="J3" s="40"/>
      <c r="K3" s="40" t="s">
        <v>7</v>
      </c>
      <c r="L3" s="40"/>
      <c r="M3" s="40"/>
      <c r="N3" s="40"/>
      <c r="O3" s="40" t="s">
        <v>8</v>
      </c>
      <c r="P3" s="40"/>
      <c r="Q3" s="40"/>
      <c r="R3" s="40"/>
      <c r="S3" s="39" t="s">
        <v>9</v>
      </c>
      <c r="T3" s="39" t="s">
        <v>10</v>
      </c>
      <c r="U3" s="41" t="s">
        <v>11</v>
      </c>
    </row>
    <row r="4" spans="1:21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39"/>
      <c r="T4" s="39"/>
      <c r="U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3" width="2.125" style="3" customWidth="1"/>
    <col min="14" max="14" width="4.875" style="3" customWidth="1"/>
    <col min="15" max="17" width="2.125" style="3" customWidth="1"/>
    <col min="18" max="18" width="4.875" style="3" customWidth="1"/>
    <col min="19" max="19" width="7.875" style="1" customWidth="1"/>
    <col min="20" max="20" width="6.375" style="3" customWidth="1"/>
    <col min="21" max="21" width="8.875" style="1" customWidth="1"/>
    <col min="22" max="16384" width="9.125" style="3" customWidth="1"/>
  </cols>
  <sheetData>
    <row r="1" spans="1:21" s="5" customFormat="1" ht="28.5" customHeight="1">
      <c r="A1" s="42" t="s">
        <v>734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6</v>
      </c>
      <c r="H3" s="40"/>
      <c r="I3" s="40"/>
      <c r="J3" s="40"/>
      <c r="K3" s="40" t="s">
        <v>7</v>
      </c>
      <c r="L3" s="40"/>
      <c r="M3" s="40"/>
      <c r="N3" s="40"/>
      <c r="O3" s="40" t="s">
        <v>8</v>
      </c>
      <c r="P3" s="40"/>
      <c r="Q3" s="40"/>
      <c r="R3" s="40"/>
      <c r="S3" s="39" t="s">
        <v>9</v>
      </c>
      <c r="T3" s="39" t="s">
        <v>10</v>
      </c>
      <c r="U3" s="41" t="s">
        <v>11</v>
      </c>
    </row>
    <row r="4" spans="1:21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39"/>
      <c r="T4" s="39"/>
      <c r="U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7" width="2.125" style="3" customWidth="1"/>
    <col min="8" max="8" width="2.125" style="17" customWidth="1"/>
    <col min="9" max="9" width="7.875" style="1" customWidth="1"/>
    <col min="10" max="10" width="6.37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2" t="s">
        <v>81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39</v>
      </c>
      <c r="H3" s="40"/>
      <c r="I3" s="39" t="s">
        <v>40</v>
      </c>
      <c r="J3" s="39" t="s">
        <v>10</v>
      </c>
      <c r="K3" s="41" t="s">
        <v>11</v>
      </c>
    </row>
    <row r="4" spans="1:11" s="6" customFormat="1" ht="21" customHeight="1">
      <c r="A4" s="36"/>
      <c r="B4" s="37"/>
      <c r="C4" s="37"/>
      <c r="D4" s="37"/>
      <c r="E4" s="37"/>
      <c r="F4" s="37"/>
      <c r="G4" s="7" t="s">
        <v>41</v>
      </c>
      <c r="H4" s="18" t="s">
        <v>42</v>
      </c>
      <c r="I4" s="39"/>
      <c r="J4" s="39"/>
      <c r="K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9" width="2.125" style="3" customWidth="1"/>
    <col min="10" max="10" width="4.875" style="3" customWidth="1"/>
    <col min="11" max="13" width="2.125" style="3" customWidth="1"/>
    <col min="14" max="14" width="4.875" style="3" customWidth="1"/>
    <col min="15" max="17" width="2.125" style="3" customWidth="1"/>
    <col min="18" max="18" width="4.875" style="3" customWidth="1"/>
    <col min="19" max="19" width="7.875" style="1" customWidth="1"/>
    <col min="20" max="20" width="6.375" style="3" customWidth="1"/>
    <col min="21" max="21" width="8.875" style="1" customWidth="1"/>
    <col min="22" max="16384" width="9.125" style="3" customWidth="1"/>
  </cols>
  <sheetData>
    <row r="1" spans="1:21" s="5" customFormat="1" ht="28.5" customHeight="1">
      <c r="A1" s="42" t="s">
        <v>735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6</v>
      </c>
      <c r="H3" s="40"/>
      <c r="I3" s="40"/>
      <c r="J3" s="40"/>
      <c r="K3" s="40" t="s">
        <v>7</v>
      </c>
      <c r="L3" s="40"/>
      <c r="M3" s="40"/>
      <c r="N3" s="40"/>
      <c r="O3" s="40" t="s">
        <v>8</v>
      </c>
      <c r="P3" s="40"/>
      <c r="Q3" s="40"/>
      <c r="R3" s="40"/>
      <c r="S3" s="39" t="s">
        <v>9</v>
      </c>
      <c r="T3" s="39" t="s">
        <v>10</v>
      </c>
      <c r="U3" s="41" t="s">
        <v>11</v>
      </c>
    </row>
    <row r="4" spans="1:21" s="6" customFormat="1" ht="21" customHeight="1">
      <c r="A4" s="36"/>
      <c r="B4" s="37"/>
      <c r="C4" s="37"/>
      <c r="D4" s="37"/>
      <c r="E4" s="37"/>
      <c r="F4" s="37"/>
      <c r="G4" s="7">
        <v>1</v>
      </c>
      <c r="H4" s="7">
        <v>2</v>
      </c>
      <c r="I4" s="7">
        <v>3</v>
      </c>
      <c r="J4" s="7" t="s">
        <v>12</v>
      </c>
      <c r="K4" s="7">
        <v>1</v>
      </c>
      <c r="L4" s="7">
        <v>2</v>
      </c>
      <c r="M4" s="7">
        <v>3</v>
      </c>
      <c r="N4" s="7" t="s">
        <v>12</v>
      </c>
      <c r="O4" s="7">
        <v>1</v>
      </c>
      <c r="P4" s="7">
        <v>2</v>
      </c>
      <c r="Q4" s="7">
        <v>3</v>
      </c>
      <c r="R4" s="7" t="s">
        <v>12</v>
      </c>
      <c r="S4" s="39"/>
      <c r="T4" s="39"/>
      <c r="U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19652777777777777" right="0.4722222222222222" top="0.43333333333333335" bottom="0.5118055555555555" header="0.5118055555555555" footer="0.5118055555555555"/>
  <pageSetup fitToHeight="100" fitToWidth="1" horizontalDpi="300" verticalDpi="300" orientation="landscape"/>
  <headerFooter alignWithMargins="0">
    <oddFooter>&amp;R&amp;D&amp;T&amp;P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7">
      <selection activeCell="H7" sqref="H7"/>
    </sheetView>
  </sheetViews>
  <sheetFormatPr defaultColWidth="9.125" defaultRowHeight="12.75"/>
  <cols>
    <col min="1" max="1" width="26.00390625" style="1" customWidth="1"/>
    <col min="2" max="2" width="28.625" style="1" customWidth="1"/>
    <col min="3" max="4" width="10.625" style="1" customWidth="1"/>
    <col min="5" max="5" width="22.75390625" style="1" customWidth="1"/>
    <col min="6" max="6" width="29.75390625" style="1" customWidth="1"/>
    <col min="7" max="7" width="5.875" style="3" customWidth="1"/>
    <col min="8" max="8" width="5.875" style="17" customWidth="1"/>
    <col min="9" max="9" width="7.875" style="1" customWidth="1"/>
    <col min="10" max="10" width="7.62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2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6" customFormat="1" ht="12.75" customHeight="1">
      <c r="A3" s="36" t="s">
        <v>0</v>
      </c>
      <c r="B3" s="37" t="s">
        <v>1</v>
      </c>
      <c r="C3" s="37" t="s">
        <v>2</v>
      </c>
      <c r="D3" s="39" t="s">
        <v>83</v>
      </c>
      <c r="E3" s="39" t="s">
        <v>4</v>
      </c>
      <c r="F3" s="39" t="s">
        <v>5</v>
      </c>
      <c r="G3" s="40" t="s">
        <v>39</v>
      </c>
      <c r="H3" s="40"/>
      <c r="I3" s="39" t="s">
        <v>40</v>
      </c>
      <c r="J3" s="39" t="s">
        <v>10</v>
      </c>
      <c r="K3" s="41" t="s">
        <v>11</v>
      </c>
    </row>
    <row r="4" spans="1:11" s="6" customFormat="1" ht="21" customHeight="1">
      <c r="A4" s="36"/>
      <c r="B4" s="37"/>
      <c r="C4" s="37"/>
      <c r="D4" s="37"/>
      <c r="E4" s="37"/>
      <c r="F4" s="37"/>
      <c r="G4" s="7" t="s">
        <v>41</v>
      </c>
      <c r="H4" s="18" t="s">
        <v>42</v>
      </c>
      <c r="I4" s="39"/>
      <c r="J4" s="39"/>
      <c r="K4" s="41"/>
    </row>
    <row r="5" spans="1:10" ht="15">
      <c r="A5" s="43" t="s">
        <v>84</v>
      </c>
      <c r="B5" s="43"/>
      <c r="C5" s="43"/>
      <c r="D5" s="43"/>
      <c r="E5" s="43"/>
      <c r="F5" s="43"/>
      <c r="G5" s="43"/>
      <c r="H5" s="43"/>
      <c r="I5" s="43"/>
      <c r="J5" s="43"/>
    </row>
    <row r="6" spans="1:11" ht="12.75">
      <c r="A6" s="8" t="s">
        <v>85</v>
      </c>
      <c r="B6" s="8" t="s">
        <v>86</v>
      </c>
      <c r="C6" s="8" t="s">
        <v>87</v>
      </c>
      <c r="D6" s="8" t="str">
        <f>"1,0000"</f>
        <v>1,0000</v>
      </c>
      <c r="E6" s="8" t="s">
        <v>19</v>
      </c>
      <c r="F6" s="8" t="s">
        <v>46</v>
      </c>
      <c r="G6" s="9" t="s">
        <v>88</v>
      </c>
      <c r="H6" s="19" t="s">
        <v>89</v>
      </c>
      <c r="I6" s="8" t="str">
        <f>"2090,0"</f>
        <v>2090,0</v>
      </c>
      <c r="J6" s="9" t="str">
        <f>"23,8312"</f>
        <v>23,8312</v>
      </c>
      <c r="K6" s="8" t="s">
        <v>90</v>
      </c>
    </row>
    <row r="7" spans="1:11" ht="12.75">
      <c r="A7" s="20" t="s">
        <v>91</v>
      </c>
      <c r="B7" s="20" t="s">
        <v>92</v>
      </c>
      <c r="C7" s="20" t="s">
        <v>93</v>
      </c>
      <c r="D7" s="20" t="str">
        <f>"1,0000"</f>
        <v>1,0000</v>
      </c>
      <c r="E7" s="20" t="s">
        <v>19</v>
      </c>
      <c r="F7" s="20" t="s">
        <v>94</v>
      </c>
      <c r="G7" s="21" t="s">
        <v>95</v>
      </c>
      <c r="H7" s="22">
        <v>76</v>
      </c>
      <c r="I7" s="20" t="str">
        <f>"4180,0"</f>
        <v>4180,0</v>
      </c>
      <c r="J7" s="21" t="str">
        <f>"57,2602"</f>
        <v>57,2602</v>
      </c>
      <c r="K7" s="20" t="s">
        <v>90</v>
      </c>
    </row>
    <row r="9" ht="15">
      <c r="E9" s="15" t="s">
        <v>76</v>
      </c>
    </row>
    <row r="10" ht="15">
      <c r="E10" s="15" t="s">
        <v>77</v>
      </c>
    </row>
    <row r="11" ht="15">
      <c r="E11" s="15" t="s">
        <v>78</v>
      </c>
    </row>
    <row r="12" ht="15">
      <c r="E12" s="15" t="s">
        <v>79</v>
      </c>
    </row>
    <row r="13" ht="15">
      <c r="E13" s="15" t="s">
        <v>79</v>
      </c>
    </row>
    <row r="14" ht="15">
      <c r="E14" s="15" t="s">
        <v>80</v>
      </c>
    </row>
    <row r="15" ht="15">
      <c r="E15" s="15"/>
    </row>
    <row r="17" spans="1:2" ht="18">
      <c r="A17" s="16" t="s">
        <v>37</v>
      </c>
      <c r="B17" s="16"/>
    </row>
    <row r="18" spans="1:2" ht="15">
      <c r="A18" s="23" t="s">
        <v>96</v>
      </c>
      <c r="B18" s="23"/>
    </row>
    <row r="19" spans="1:2" ht="14.25">
      <c r="A19" s="24"/>
      <c r="B19" s="25" t="s">
        <v>97</v>
      </c>
    </row>
    <row r="20" spans="1:5" ht="15">
      <c r="A20" s="26" t="s">
        <v>98</v>
      </c>
      <c r="B20" s="26" t="s">
        <v>99</v>
      </c>
      <c r="C20" s="26" t="s">
        <v>100</v>
      </c>
      <c r="D20" s="26" t="s">
        <v>101</v>
      </c>
      <c r="E20" s="26" t="s">
        <v>102</v>
      </c>
    </row>
    <row r="21" spans="1:5" ht="12.75">
      <c r="A21" s="27" t="s">
        <v>103</v>
      </c>
      <c r="B21" s="1" t="s">
        <v>97</v>
      </c>
      <c r="C21" s="1" t="s">
        <v>104</v>
      </c>
      <c r="D21" s="1" t="s">
        <v>105</v>
      </c>
      <c r="E21" s="28" t="s">
        <v>106</v>
      </c>
    </row>
    <row r="23" spans="1:2" ht="14.25">
      <c r="A23" s="24"/>
      <c r="B23" s="25" t="s">
        <v>107</v>
      </c>
    </row>
    <row r="24" spans="1:5" ht="15">
      <c r="A24" s="26" t="s">
        <v>98</v>
      </c>
      <c r="B24" s="26" t="s">
        <v>99</v>
      </c>
      <c r="C24" s="26" t="s">
        <v>100</v>
      </c>
      <c r="D24" s="26" t="s">
        <v>101</v>
      </c>
      <c r="E24" s="26" t="s">
        <v>102</v>
      </c>
    </row>
    <row r="25" spans="1:5" ht="12.75">
      <c r="A25" s="27" t="s">
        <v>108</v>
      </c>
      <c r="B25" s="1" t="s">
        <v>109</v>
      </c>
      <c r="C25" s="1" t="s">
        <v>104</v>
      </c>
      <c r="D25" s="1" t="s">
        <v>110</v>
      </c>
      <c r="E25" s="28" t="s">
        <v>111</v>
      </c>
    </row>
  </sheetData>
  <sheetProtection selectLockedCells="1" selectUnlockedCells="1"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7" width="2.125" style="3" customWidth="1"/>
    <col min="8" max="8" width="2.125" style="17" customWidth="1"/>
    <col min="9" max="9" width="7.875" style="1" customWidth="1"/>
    <col min="10" max="10" width="6.37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2" t="s">
        <v>112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39</v>
      </c>
      <c r="H3" s="40"/>
      <c r="I3" s="39" t="s">
        <v>40</v>
      </c>
      <c r="J3" s="39" t="s">
        <v>10</v>
      </c>
      <c r="K3" s="41" t="s">
        <v>11</v>
      </c>
    </row>
    <row r="4" spans="1:11" s="6" customFormat="1" ht="21" customHeight="1">
      <c r="A4" s="36"/>
      <c r="B4" s="37"/>
      <c r="C4" s="37"/>
      <c r="D4" s="37"/>
      <c r="E4" s="37"/>
      <c r="F4" s="37"/>
      <c r="G4" s="7" t="s">
        <v>41</v>
      </c>
      <c r="H4" s="18" t="s">
        <v>42</v>
      </c>
      <c r="I4" s="39"/>
      <c r="J4" s="39"/>
      <c r="K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6.00390625" style="1" customWidth="1"/>
    <col min="2" max="2" width="26.25390625" style="1" customWidth="1"/>
    <col min="3" max="3" width="9.75390625" style="1" customWidth="1"/>
    <col min="4" max="4" width="6.625" style="1" customWidth="1"/>
    <col min="5" max="5" width="22.75390625" style="1" customWidth="1"/>
    <col min="6" max="6" width="17.25390625" style="1" customWidth="1"/>
    <col min="7" max="7" width="2.125" style="3" customWidth="1"/>
    <col min="8" max="8" width="2.125" style="17" customWidth="1"/>
    <col min="9" max="9" width="7.875" style="1" customWidth="1"/>
    <col min="10" max="10" width="6.375" style="3" customWidth="1"/>
    <col min="11" max="11" width="8.875" style="1" customWidth="1"/>
    <col min="12" max="16384" width="9.125" style="3" customWidth="1"/>
  </cols>
  <sheetData>
    <row r="1" spans="1:11" s="5" customFormat="1" ht="28.5" customHeight="1">
      <c r="A1" s="42" t="s">
        <v>113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5" customFormat="1" ht="61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6" customFormat="1" ht="12.75" customHeight="1">
      <c r="A3" s="36" t="s">
        <v>0</v>
      </c>
      <c r="B3" s="37" t="s">
        <v>1</v>
      </c>
      <c r="C3" s="37" t="s">
        <v>2</v>
      </c>
      <c r="D3" s="39"/>
      <c r="E3" s="39" t="s">
        <v>4</v>
      </c>
      <c r="F3" s="39" t="s">
        <v>5</v>
      </c>
      <c r="G3" s="40" t="s">
        <v>39</v>
      </c>
      <c r="H3" s="40"/>
      <c r="I3" s="39" t="s">
        <v>40</v>
      </c>
      <c r="J3" s="39" t="s">
        <v>10</v>
      </c>
      <c r="K3" s="41" t="s">
        <v>11</v>
      </c>
    </row>
    <row r="4" spans="1:11" s="6" customFormat="1" ht="21" customHeight="1">
      <c r="A4" s="36"/>
      <c r="B4" s="37"/>
      <c r="C4" s="37"/>
      <c r="D4" s="37"/>
      <c r="E4" s="37"/>
      <c r="F4" s="37"/>
      <c r="G4" s="7" t="s">
        <v>41</v>
      </c>
      <c r="H4" s="18" t="s">
        <v>42</v>
      </c>
      <c r="I4" s="39"/>
      <c r="J4" s="39"/>
      <c r="K4" s="41"/>
    </row>
    <row r="6" ht="15">
      <c r="E6" s="15" t="s">
        <v>76</v>
      </c>
    </row>
    <row r="7" ht="15">
      <c r="E7" s="15" t="s">
        <v>77</v>
      </c>
    </row>
    <row r="8" ht="15">
      <c r="E8" s="15" t="s">
        <v>78</v>
      </c>
    </row>
    <row r="9" ht="15">
      <c r="E9" s="15" t="s">
        <v>79</v>
      </c>
    </row>
    <row r="10" ht="15">
      <c r="E10" s="15" t="s">
        <v>79</v>
      </c>
    </row>
    <row r="11" ht="15">
      <c r="E11" s="15" t="s">
        <v>80</v>
      </c>
    </row>
    <row r="12" ht="15">
      <c r="E12" s="15"/>
    </row>
    <row r="14" spans="1:2" ht="18">
      <c r="A14" s="16" t="s">
        <v>37</v>
      </c>
      <c r="B14" s="16"/>
    </row>
  </sheetData>
  <sheetProtection selectLockedCells="1" selectUnlockedCells="1"/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2019-07-08T10:36:26Z</dcterms:created>
  <dcterms:modified xsi:type="dcterms:W3CDTF">2019-07-08T10:36:28Z</dcterms:modified>
  <cp:category/>
  <cp:version/>
  <cp:contentType/>
  <cp:contentStatus/>
</cp:coreProperties>
</file>